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4040" windowHeight="9435"/>
  </bookViews>
  <sheets>
    <sheet name="первоначальный" sheetId="6" r:id="rId1"/>
    <sheet name="расчет зарплаты" sheetId="4" r:id="rId2"/>
    <sheet name="зарплата с индексацией" sheetId="7" r:id="rId3"/>
  </sheets>
  <definedNames>
    <definedName name="_xlnm.Print_Titles" localSheetId="0">первоначальный!$4:$5</definedName>
    <definedName name="_xlnm.Print_Area" localSheetId="0">первоначальный!$A$1:$M$218</definedName>
  </definedNames>
  <calcPr calcId="125725"/>
</workbook>
</file>

<file path=xl/calcChain.xml><?xml version="1.0" encoding="utf-8"?>
<calcChain xmlns="http://schemas.openxmlformats.org/spreadsheetml/2006/main">
  <c r="M7" i="6"/>
  <c r="L7"/>
  <c r="M15"/>
  <c r="L15"/>
  <c r="M170"/>
  <c r="L170"/>
  <c r="M154"/>
  <c r="M157"/>
  <c r="L157"/>
  <c r="K157"/>
  <c r="K205"/>
  <c r="K203"/>
  <c r="K72"/>
  <c r="M73"/>
  <c r="L73"/>
  <c r="M60"/>
  <c r="L60"/>
  <c r="K60"/>
  <c r="I9" l="1"/>
  <c r="M9"/>
  <c r="M14" s="1"/>
  <c r="L9"/>
  <c r="L14" s="1"/>
  <c r="K9"/>
  <c r="J9"/>
  <c r="H9"/>
  <c r="K14"/>
  <c r="J14"/>
  <c r="I14"/>
  <c r="H14"/>
  <c r="M10"/>
  <c r="L10"/>
  <c r="K10"/>
  <c r="J10"/>
  <c r="I10"/>
  <c r="H10"/>
  <c r="E22" i="7"/>
  <c r="B22"/>
  <c r="H22" s="1"/>
  <c r="H21"/>
  <c r="B21"/>
  <c r="B31" s="1"/>
  <c r="B20"/>
  <c r="B30" s="1"/>
  <c r="B18"/>
  <c r="E18" s="1"/>
  <c r="H12"/>
  <c r="E12"/>
  <c r="I12" s="1"/>
  <c r="J12" s="1"/>
  <c r="H11"/>
  <c r="E11"/>
  <c r="I11" s="1"/>
  <c r="J11" s="1"/>
  <c r="H10"/>
  <c r="E10"/>
  <c r="H8"/>
  <c r="E8"/>
  <c r="I8" s="1"/>
  <c r="G9" i="6"/>
  <c r="F9"/>
  <c r="F172"/>
  <c r="F156"/>
  <c r="F144"/>
  <c r="F64"/>
  <c r="F41"/>
  <c r="F35"/>
  <c r="F10"/>
  <c r="G178"/>
  <c r="H20" i="7" l="1"/>
  <c r="I10"/>
  <c r="J10" s="1"/>
  <c r="E20"/>
  <c r="E30"/>
  <c r="H30"/>
  <c r="E31"/>
  <c r="H31"/>
  <c r="J8"/>
  <c r="I22"/>
  <c r="J22" s="1"/>
  <c r="I13"/>
  <c r="J13" s="1"/>
  <c r="B28"/>
  <c r="E21"/>
  <c r="I21" s="1"/>
  <c r="J21" s="1"/>
  <c r="B32"/>
  <c r="H18"/>
  <c r="I18" s="1"/>
  <c r="J73" i="6"/>
  <c r="I73"/>
  <c r="H73"/>
  <c r="I20" i="7" l="1"/>
  <c r="J20" s="1"/>
  <c r="J18"/>
  <c r="I14"/>
  <c r="J14" s="1"/>
  <c r="I30"/>
  <c r="E28"/>
  <c r="I28" s="1"/>
  <c r="H28"/>
  <c r="H32"/>
  <c r="E32"/>
  <c r="I23"/>
  <c r="J23" s="1"/>
  <c r="I31"/>
  <c r="J31" s="1"/>
  <c r="M208" i="6"/>
  <c r="L208"/>
  <c r="K208"/>
  <c r="J208"/>
  <c r="I208"/>
  <c r="H208"/>
  <c r="G208"/>
  <c r="F208"/>
  <c r="F207" s="1"/>
  <c r="F201"/>
  <c r="F195"/>
  <c r="F189"/>
  <c r="F184"/>
  <c r="F179"/>
  <c r="F178" s="1"/>
  <c r="F176"/>
  <c r="F166"/>
  <c r="F161"/>
  <c r="F147"/>
  <c r="F139"/>
  <c r="F134"/>
  <c r="F130"/>
  <c r="F126"/>
  <c r="F122"/>
  <c r="F117"/>
  <c r="F111"/>
  <c r="F103"/>
  <c r="F100"/>
  <c r="F97"/>
  <c r="F93"/>
  <c r="F90"/>
  <c r="F87"/>
  <c r="F82"/>
  <c r="F77"/>
  <c r="F74"/>
  <c r="K73"/>
  <c r="F72"/>
  <c r="F60"/>
  <c r="F39"/>
  <c r="F33"/>
  <c r="F30"/>
  <c r="F24"/>
  <c r="F20"/>
  <c r="I24" i="7" l="1"/>
  <c r="J24" s="1"/>
  <c r="J28"/>
  <c r="J30"/>
  <c r="I33"/>
  <c r="J33" s="1"/>
  <c r="I32"/>
  <c r="J32" s="1"/>
  <c r="F194" i="6"/>
  <c r="F99"/>
  <c r="F65"/>
  <c r="F110"/>
  <c r="F151"/>
  <c r="F150" s="1"/>
  <c r="F206"/>
  <c r="F11"/>
  <c r="F27"/>
  <c r="F19" l="1"/>
  <c r="I34" i="7"/>
  <c r="J34" s="1"/>
  <c r="F109" i="6"/>
  <c r="F12"/>
  <c r="F8" s="1"/>
  <c r="L100"/>
  <c r="M166"/>
  <c r="K103"/>
  <c r="K166"/>
  <c r="M139"/>
  <c r="L139"/>
  <c r="K139"/>
  <c r="L166"/>
  <c r="F18" l="1"/>
  <c r="F15"/>
  <c r="F6" s="1"/>
  <c r="K151"/>
  <c r="K150" s="1"/>
  <c r="M65" l="1"/>
  <c r="L65"/>
  <c r="K65"/>
  <c r="L207" l="1"/>
  <c r="K207"/>
  <c r="I207"/>
  <c r="I11" s="1"/>
  <c r="G207"/>
  <c r="G206" s="1"/>
  <c r="J207"/>
  <c r="M201"/>
  <c r="L201"/>
  <c r="K201"/>
  <c r="J201"/>
  <c r="I201"/>
  <c r="H201"/>
  <c r="G201"/>
  <c r="M195"/>
  <c r="M194" s="1"/>
  <c r="L195"/>
  <c r="L194" s="1"/>
  <c r="K195"/>
  <c r="J195"/>
  <c r="I195"/>
  <c r="I194" s="1"/>
  <c r="H195"/>
  <c r="H194" s="1"/>
  <c r="G195"/>
  <c r="M189"/>
  <c r="L189"/>
  <c r="K189"/>
  <c r="J189"/>
  <c r="I189"/>
  <c r="H189"/>
  <c r="M184"/>
  <c r="L184"/>
  <c r="K184"/>
  <c r="J184"/>
  <c r="I184"/>
  <c r="H184"/>
  <c r="M179"/>
  <c r="L179"/>
  <c r="K179"/>
  <c r="K178" s="1"/>
  <c r="J179"/>
  <c r="I179"/>
  <c r="H179"/>
  <c r="H178" s="1"/>
  <c r="M176"/>
  <c r="L176"/>
  <c r="K176"/>
  <c r="J176"/>
  <c r="I176"/>
  <c r="H176"/>
  <c r="G176"/>
  <c r="J166"/>
  <c r="I166"/>
  <c r="H166"/>
  <c r="M161"/>
  <c r="L161"/>
  <c r="K161"/>
  <c r="J161"/>
  <c r="I161"/>
  <c r="H161"/>
  <c r="G161"/>
  <c r="M151"/>
  <c r="M150" s="1"/>
  <c r="L151"/>
  <c r="L150" s="1"/>
  <c r="J151"/>
  <c r="J150" s="1"/>
  <c r="I151"/>
  <c r="I150" s="1"/>
  <c r="H151"/>
  <c r="H150" s="1"/>
  <c r="G151"/>
  <c r="G150" s="1"/>
  <c r="M147"/>
  <c r="L147"/>
  <c r="K147"/>
  <c r="J147"/>
  <c r="I147"/>
  <c r="H147"/>
  <c r="G147"/>
  <c r="J139"/>
  <c r="I139"/>
  <c r="H139"/>
  <c r="G139"/>
  <c r="M134"/>
  <c r="L134"/>
  <c r="K134"/>
  <c r="J134"/>
  <c r="I134"/>
  <c r="H134"/>
  <c r="G134"/>
  <c r="M130"/>
  <c r="L130"/>
  <c r="K130"/>
  <c r="J130"/>
  <c r="I130"/>
  <c r="H130"/>
  <c r="G130"/>
  <c r="M126"/>
  <c r="L126"/>
  <c r="K126"/>
  <c r="J126"/>
  <c r="I126"/>
  <c r="H126"/>
  <c r="G126"/>
  <c r="M122"/>
  <c r="L122"/>
  <c r="K122"/>
  <c r="J122"/>
  <c r="I122"/>
  <c r="H122"/>
  <c r="G122"/>
  <c r="M117"/>
  <c r="L117"/>
  <c r="K117"/>
  <c r="J117"/>
  <c r="I117"/>
  <c r="H117"/>
  <c r="G117"/>
  <c r="M111"/>
  <c r="L111"/>
  <c r="K111"/>
  <c r="J111"/>
  <c r="I111"/>
  <c r="H111"/>
  <c r="G111"/>
  <c r="G110" s="1"/>
  <c r="M103"/>
  <c r="L103"/>
  <c r="J103"/>
  <c r="I103"/>
  <c r="H103"/>
  <c r="G103"/>
  <c r="M100"/>
  <c r="K100"/>
  <c r="K99" s="1"/>
  <c r="J100"/>
  <c r="I100"/>
  <c r="H100"/>
  <c r="G100"/>
  <c r="M97"/>
  <c r="L97"/>
  <c r="K97"/>
  <c r="J97"/>
  <c r="I97"/>
  <c r="H97"/>
  <c r="G97"/>
  <c r="M93"/>
  <c r="L93"/>
  <c r="K93"/>
  <c r="J93"/>
  <c r="J12" s="1"/>
  <c r="I93"/>
  <c r="I12" s="1"/>
  <c r="H93"/>
  <c r="H12" s="1"/>
  <c r="G93"/>
  <c r="M90"/>
  <c r="L90"/>
  <c r="K90"/>
  <c r="J90"/>
  <c r="I90"/>
  <c r="H90"/>
  <c r="G90"/>
  <c r="M87"/>
  <c r="L87"/>
  <c r="K87"/>
  <c r="J87"/>
  <c r="I87"/>
  <c r="H87"/>
  <c r="G87"/>
  <c r="M82"/>
  <c r="L82"/>
  <c r="K82"/>
  <c r="J82"/>
  <c r="I82"/>
  <c r="H82"/>
  <c r="G82"/>
  <c r="M77"/>
  <c r="L77"/>
  <c r="K77"/>
  <c r="J77"/>
  <c r="I77"/>
  <c r="H77"/>
  <c r="G77"/>
  <c r="M74"/>
  <c r="L74"/>
  <c r="K74"/>
  <c r="J74"/>
  <c r="I74"/>
  <c r="H74"/>
  <c r="G74"/>
  <c r="J65"/>
  <c r="I65"/>
  <c r="H65"/>
  <c r="G65"/>
  <c r="J60"/>
  <c r="I60"/>
  <c r="H60"/>
  <c r="G60"/>
  <c r="M39"/>
  <c r="L39"/>
  <c r="K39"/>
  <c r="J39"/>
  <c r="I39"/>
  <c r="H39"/>
  <c r="G39"/>
  <c r="M33"/>
  <c r="L33"/>
  <c r="K33"/>
  <c r="J33"/>
  <c r="I33"/>
  <c r="H33"/>
  <c r="G33"/>
  <c r="M30"/>
  <c r="L30"/>
  <c r="K30"/>
  <c r="J30"/>
  <c r="I30"/>
  <c r="H30"/>
  <c r="G30"/>
  <c r="M24"/>
  <c r="L24"/>
  <c r="K24"/>
  <c r="J24"/>
  <c r="I24"/>
  <c r="H24"/>
  <c r="G24"/>
  <c r="M20"/>
  <c r="L20"/>
  <c r="K20"/>
  <c r="J20"/>
  <c r="I20"/>
  <c r="H20"/>
  <c r="G20"/>
  <c r="L99" l="1"/>
  <c r="L178"/>
  <c r="H109"/>
  <c r="G194"/>
  <c r="K194"/>
  <c r="J194"/>
  <c r="G12"/>
  <c r="G8" s="1"/>
  <c r="J178"/>
  <c r="I178"/>
  <c r="M178"/>
  <c r="I110"/>
  <c r="M110"/>
  <c r="M109" s="1"/>
  <c r="K110"/>
  <c r="K12" s="1"/>
  <c r="I99"/>
  <c r="J99"/>
  <c r="J110"/>
  <c r="J109" s="1"/>
  <c r="L110"/>
  <c r="L109" s="1"/>
  <c r="H110"/>
  <c r="H27"/>
  <c r="H19" s="1"/>
  <c r="H18" s="1"/>
  <c r="H7" s="1"/>
  <c r="L206"/>
  <c r="L11"/>
  <c r="I27"/>
  <c r="I19" s="1"/>
  <c r="I18" s="1"/>
  <c r="I7" s="1"/>
  <c r="H99"/>
  <c r="M99"/>
  <c r="G99"/>
  <c r="G27"/>
  <c r="G19" s="1"/>
  <c r="M27"/>
  <c r="M19" s="1"/>
  <c r="M207"/>
  <c r="M11" s="1"/>
  <c r="G166"/>
  <c r="G109" s="1"/>
  <c r="K27"/>
  <c r="K19" s="1"/>
  <c r="L27"/>
  <c r="L19" s="1"/>
  <c r="J27"/>
  <c r="J19" s="1"/>
  <c r="J18" s="1"/>
  <c r="J7" s="1"/>
  <c r="H207"/>
  <c r="H11" s="1"/>
  <c r="J206"/>
  <c r="J11"/>
  <c r="K11"/>
  <c r="K206"/>
  <c r="I206"/>
  <c r="M12" l="1"/>
  <c r="L12"/>
  <c r="M18"/>
  <c r="L18"/>
  <c r="I8"/>
  <c r="I109"/>
  <c r="I15" s="1"/>
  <c r="J8"/>
  <c r="M8"/>
  <c r="K109"/>
  <c r="G18"/>
  <c r="K8"/>
  <c r="L8"/>
  <c r="H8"/>
  <c r="G15"/>
  <c r="G6" s="1"/>
  <c r="H206"/>
  <c r="L16"/>
  <c r="M206"/>
  <c r="L17" l="1"/>
  <c r="K15"/>
  <c r="K6" s="1"/>
  <c r="K18"/>
  <c r="K7" s="1"/>
  <c r="I6"/>
  <c r="J15"/>
  <c r="J6" s="1"/>
  <c r="H15"/>
  <c r="H6" s="1"/>
  <c r="M16"/>
  <c r="L6"/>
  <c r="M17" l="1"/>
  <c r="M6"/>
  <c r="D10" i="4" l="1"/>
  <c r="D9"/>
  <c r="D7"/>
  <c r="E10" l="1"/>
  <c r="E7"/>
  <c r="D11" l="1"/>
  <c r="E11" s="1"/>
  <c r="E9"/>
  <c r="D12" l="1"/>
  <c r="E12" s="1"/>
</calcChain>
</file>

<file path=xl/sharedStrings.xml><?xml version="1.0" encoding="utf-8"?>
<sst xmlns="http://schemas.openxmlformats.org/spreadsheetml/2006/main" count="621" uniqueCount="289">
  <si>
    <t>Единица измерения: руб.</t>
  </si>
  <si>
    <t>Наименование показателя</t>
  </si>
  <si>
    <t>РП</t>
  </si>
  <si>
    <t>Ц.ст.</t>
  </si>
  <si>
    <t>ВР</t>
  </si>
  <si>
    <t>Доп.кл.</t>
  </si>
  <si>
    <t>по расчетам поселений</t>
  </si>
  <si>
    <t>к утверждению</t>
  </si>
  <si>
    <t xml:space="preserve">Дефицит (профицит бюджета) </t>
  </si>
  <si>
    <t>Трансферты за счет средств бюджета МР</t>
  </si>
  <si>
    <t>Дотация на выравнивание уровня бюджетной обеспеченности</t>
  </si>
  <si>
    <t>Расходы бюджета -  всего</t>
  </si>
  <si>
    <t>0103</t>
  </si>
  <si>
    <t>000</t>
  </si>
  <si>
    <t>Компенсационные выплаты главе поселения</t>
  </si>
  <si>
    <t>123</t>
  </si>
  <si>
    <t>канцелярские товары д/сельской Думы</t>
  </si>
  <si>
    <t>0104</t>
  </si>
  <si>
    <t>121</t>
  </si>
  <si>
    <t>возмещение расходов за использование личного транспорта</t>
  </si>
  <si>
    <t>122</t>
  </si>
  <si>
    <t>242</t>
  </si>
  <si>
    <t>244</t>
  </si>
  <si>
    <t>приобретение марок, конвертов и пересылка почтовых отправлений</t>
  </si>
  <si>
    <t>852</t>
  </si>
  <si>
    <t>членские взносы в ассоциацию МО</t>
  </si>
  <si>
    <t>853</t>
  </si>
  <si>
    <t>0107</t>
  </si>
  <si>
    <t>0111</t>
  </si>
  <si>
    <t>870</t>
  </si>
  <si>
    <t>0113</t>
  </si>
  <si>
    <t>0409</t>
  </si>
  <si>
    <t>0412</t>
  </si>
  <si>
    <t>0501</t>
  </si>
  <si>
    <t>0502</t>
  </si>
  <si>
    <t>Прочие мероприятия в области коммунального хозяйства</t>
  </si>
  <si>
    <t>0503</t>
  </si>
  <si>
    <t>приобетение электротоваров для уличного освещения</t>
  </si>
  <si>
    <t>приобретение энергосберегающих ламп, приборов учета для уличного освещения</t>
  </si>
  <si>
    <t>0801</t>
  </si>
  <si>
    <t>Расходы бюджета на передаваемые полномочия в бюджет муниципального района</t>
  </si>
  <si>
    <t>540</t>
  </si>
  <si>
    <t>0106</t>
  </si>
  <si>
    <t>0707</t>
  </si>
  <si>
    <t>1101</t>
  </si>
  <si>
    <t>Исполнение переданных полномочий за счет средств бюджета МР "Износковский район"</t>
  </si>
  <si>
    <t>11</t>
  </si>
  <si>
    <t>взносы в фонд капитального ремонта многоквртирных домов</t>
  </si>
  <si>
    <t xml:space="preserve">Расходы за счет субвенций </t>
  </si>
  <si>
    <t>Осуществление первичного воинского учета на территориях, где отсутствуют военные комиссариаты</t>
  </si>
  <si>
    <t>0203</t>
  </si>
  <si>
    <t>Заработная плата</t>
  </si>
  <si>
    <t>365</t>
  </si>
  <si>
    <t>Начисления на выплаты по оплате труда</t>
  </si>
  <si>
    <t>01</t>
  </si>
  <si>
    <t>129</t>
  </si>
  <si>
    <t>02 0 00 04110</t>
  </si>
  <si>
    <t>02 0 00 04120</t>
  </si>
  <si>
    <t>02 0 00 04130</t>
  </si>
  <si>
    <t>02 0 00 04210</t>
  </si>
  <si>
    <t>02 0 00 04140</t>
  </si>
  <si>
    <t>99 9 00 51180</t>
  </si>
  <si>
    <t xml:space="preserve">Код БК </t>
  </si>
  <si>
    <t>Прочие мероприятия в области благоустройства</t>
  </si>
  <si>
    <t>Мероприятия в области пожарной безопасности</t>
  </si>
  <si>
    <t>Мероприятия в области энергосбережения</t>
  </si>
  <si>
    <t>Оценка недвижимости, признание прав и регулирование отношений по государственной и муниципальной собственности</t>
  </si>
  <si>
    <t>Периодическая печать</t>
  </si>
  <si>
    <t>Мероприятия по поддержке и развитию малого предпринимательства</t>
  </si>
  <si>
    <t>Мероприятия в области профилактики правонарушений</t>
  </si>
  <si>
    <t>Закупка товаров, работ, услуг в сфере информационно-коммуникационных технологий</t>
  </si>
  <si>
    <t>Функционирование представительного органа власти</t>
  </si>
  <si>
    <t>Разработка прогноза социально-экономического развития территории поселения и формирование муниципального заказа</t>
  </si>
  <si>
    <t>Организация и осуществление мероприятий по работе с детьми и молодежью</t>
  </si>
  <si>
    <t>Создание условий для организации досуга и обеспечения жителей поселения услугами организаций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</si>
  <si>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</si>
  <si>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 xml:space="preserve">Начисления на выплаты по оплате труда </t>
  </si>
  <si>
    <t>противопожарная опашка и окашивание</t>
  </si>
  <si>
    <t>12</t>
  </si>
  <si>
    <t>обучение по 44 ФЗ</t>
  </si>
  <si>
    <t>расходы бюджета за счет собственных средств - всего</t>
  </si>
  <si>
    <t>суточные в командировке</t>
  </si>
  <si>
    <t>Прочая закупка товаров, работ и услуг</t>
  </si>
  <si>
    <t>затраты на подписку газеты "Рассвет"</t>
  </si>
  <si>
    <t>Дорожное хозяйство (за счет собственных средств)</t>
  </si>
  <si>
    <t>Внешний финансовый контроль (КСК)</t>
  </si>
  <si>
    <t>обслуживание пожарной сигнализации в здании администрации МО СП 500*12</t>
  </si>
  <si>
    <t>уплата госпошлины</t>
  </si>
  <si>
    <t>штрафы и пени по налогам</t>
  </si>
  <si>
    <t>тех.обслуживание газового обрудования в муницип. ж/ф</t>
  </si>
  <si>
    <t xml:space="preserve">ремонт муниципального жилищного фонда </t>
  </si>
  <si>
    <t xml:space="preserve">Исполнитель: </t>
  </si>
  <si>
    <t>плата за негативное воздействие на окружающую среду</t>
  </si>
  <si>
    <t xml:space="preserve">Доходы бюджета всего </t>
  </si>
  <si>
    <t>субсидии (областные и федеральные)</t>
  </si>
  <si>
    <t xml:space="preserve">субвенции </t>
  </si>
  <si>
    <t>01 0 01 01130</t>
  </si>
  <si>
    <t xml:space="preserve">эцп </t>
  </si>
  <si>
    <t>01 0 01 01010</t>
  </si>
  <si>
    <t>01 0 01 01020</t>
  </si>
  <si>
    <t>Функционирование Главы Администрации сельского поселения</t>
  </si>
  <si>
    <t>01 0 01 01030</t>
  </si>
  <si>
    <t>Функционирование центрального аппарата администрации сельского поселения</t>
  </si>
  <si>
    <t>01 0 07 01300</t>
  </si>
  <si>
    <t>Обеспечение деятельности муниципальной избирательной комиссии</t>
  </si>
  <si>
    <t>01 0 04 01160</t>
  </si>
  <si>
    <t>01 0 03 01150</t>
  </si>
  <si>
    <t>01 0 02 01080</t>
  </si>
  <si>
    <t>01 0 02 01040</t>
  </si>
  <si>
    <t>01 0 02 01050</t>
  </si>
  <si>
    <t>01 0 02 01060</t>
  </si>
  <si>
    <t>01 0 02 01070</t>
  </si>
  <si>
    <t>01 0 02 01090</t>
  </si>
  <si>
    <t>01 0 02 01100</t>
  </si>
  <si>
    <t>01 0 05 01170</t>
  </si>
  <si>
    <t>01 0 06 01220</t>
  </si>
  <si>
    <t>06 0 00 01190</t>
  </si>
  <si>
    <t>01 0 08 01870</t>
  </si>
  <si>
    <t>РЕЗЕРВ подлежащий последующему перераспределению</t>
  </si>
  <si>
    <t>05 0 01 02400</t>
  </si>
  <si>
    <r>
      <t xml:space="preserve">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</t>
    </r>
    <r>
      <rPr>
        <b/>
        <sz val="10"/>
        <rFont val="Arial Cyr"/>
        <charset val="204"/>
      </rPr>
      <t>содержанию муниципального жилищного фонда</t>
    </r>
  </si>
  <si>
    <t>05 0 01 02500</t>
  </si>
  <si>
    <t>ВЦП</t>
  </si>
  <si>
    <r>
      <t xml:space="preserve">Формирование, утверждение, исполнение бюджета поселения и контроль за исполнением данного бюджета, в части передаваемых полномочий по </t>
    </r>
    <r>
      <rPr>
        <b/>
        <i/>
        <sz val="10"/>
        <color indexed="8"/>
        <rFont val="Arial Cyr"/>
        <charset val="204"/>
      </rPr>
      <t>составлению и организации исполнения бюджета</t>
    </r>
  </si>
  <si>
    <r>
      <t>Формирование, утверждение, исполнение бюджета поселения и контроль за исполнением данного бюджета,</t>
    </r>
    <r>
      <rPr>
        <b/>
        <i/>
        <sz val="10"/>
        <color indexed="8"/>
        <rFont val="Arial Cyr"/>
        <charset val="204"/>
      </rPr>
      <t xml:space="preserve"> в части ведения бухгалтерского учета и отчетности по администрации поселения</t>
    </r>
  </si>
  <si>
    <r>
      <t xml:space="preserve">Формирование, утверждение, исполнение бюджета поселения и контроль за исполнением данного бюджета, </t>
    </r>
    <r>
      <rPr>
        <b/>
        <i/>
        <sz val="10"/>
        <color indexed="8"/>
        <rFont val="Arial Cyr"/>
        <charset val="204"/>
      </rPr>
      <t>в части внутреннего финансового контроля</t>
    </r>
  </si>
  <si>
    <r>
      <t>Исполнение переданны полномочий муниципального района по содержанию на территории муниципального района межпоселенческих</t>
    </r>
    <r>
      <rPr>
        <b/>
        <sz val="10"/>
        <rFont val="Arial Cyr"/>
        <charset val="204"/>
      </rPr>
      <t xml:space="preserve"> мест захоронений</t>
    </r>
  </si>
  <si>
    <t>05 0 01 02600</t>
  </si>
  <si>
    <t>МП "ДОРОГИ"</t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</si>
  <si>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  </r>
    <r>
      <rPr>
        <b/>
        <i/>
        <sz val="10"/>
        <rFont val="Arial Cyr"/>
        <charset val="204"/>
      </rPr>
      <t xml:space="preserve"> в части межевания автомобильных дорог</t>
    </r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</si>
  <si>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  </r>
    <r>
      <rPr>
        <b/>
        <i/>
        <sz val="10"/>
        <rFont val="Arial Cyr"/>
        <charset val="204"/>
      </rPr>
      <t xml:space="preserve"> в части паспортизации автомобильных дорог</t>
    </r>
  </si>
  <si>
    <r>
      <t xml:space="preserve">Исполнение переданных полномочий муниципального района на осуществление дорожной деятельности в отношении автомобильных дорог местного значения </t>
    </r>
    <r>
      <rPr>
        <b/>
        <i/>
        <sz val="10"/>
        <rFont val="Arial Cyr"/>
        <charset val="204"/>
      </rPr>
      <t>в границах населенных пунктов поселения</t>
    </r>
    <r>
      <rPr>
        <i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>в части содержания автомобильных дорог</t>
    </r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</si>
  <si>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</t>
    </r>
    <r>
      <rPr>
        <b/>
        <i/>
        <sz val="10"/>
        <rFont val="Arial Cyr"/>
        <charset val="204"/>
      </rPr>
      <t xml:space="preserve"> вне границ населенных пунктов </t>
    </r>
    <r>
      <rPr>
        <i/>
        <sz val="10"/>
        <rFont val="Arial Cyr"/>
        <charset val="204"/>
      </rPr>
      <t xml:space="preserve">в границах муниципального района </t>
    </r>
    <r>
      <rPr>
        <b/>
        <i/>
        <sz val="10"/>
        <rFont val="Arial Cyr"/>
        <charset val="204"/>
      </rPr>
      <t>в части</t>
    </r>
    <r>
      <rPr>
        <i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>содержания автомобильных дорог</t>
    </r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</si>
  <si>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</t>
    </r>
    <r>
      <rPr>
        <b/>
        <i/>
        <sz val="10"/>
        <rFont val="Arial Cyr"/>
        <charset val="204"/>
      </rPr>
      <t xml:space="preserve"> в границах населенных пунктов поселения в части ремонта автомобильных дорог</t>
    </r>
  </si>
  <si>
    <r>
      <t xml:space="preserve">Исполнение переданны полномочий муниципального района по организации в границах поселения </t>
    </r>
    <r>
      <rPr>
        <b/>
        <sz val="10"/>
        <rFont val="Arial Cyr"/>
        <charset val="204"/>
      </rPr>
      <t>электро-, тепло-, газо- и водоснабжения населения</t>
    </r>
    <r>
      <rPr>
        <sz val="10"/>
        <rFont val="Arial Cyr"/>
        <charset val="204"/>
      </rPr>
      <t xml:space="preserve">, </t>
    </r>
    <r>
      <rPr>
        <b/>
        <sz val="10"/>
        <rFont val="Arial Cyr"/>
        <charset val="204"/>
      </rPr>
      <t>водоотведения, снабжения населения топливом</t>
    </r>
  </si>
  <si>
    <t>содержание дорог внутри поселения</t>
  </si>
  <si>
    <t>МП "ЖКХ"</t>
  </si>
  <si>
    <t>05 0 02 01160</t>
  </si>
  <si>
    <t>05 0 02 02010</t>
  </si>
  <si>
    <r>
      <t>Мероприятия в области жилищного хозяйства</t>
    </r>
    <r>
      <rPr>
        <sz val="10"/>
        <color indexed="8"/>
        <rFont val="Arial CYR"/>
        <charset val="204"/>
      </rPr>
      <t xml:space="preserve"> (за счет собственных средств)</t>
    </r>
  </si>
  <si>
    <t>05 0 02 02020</t>
  </si>
  <si>
    <t>05 0 02 02240</t>
  </si>
  <si>
    <t>05 0 02 02250</t>
  </si>
  <si>
    <t>Организация уличного освещения</t>
  </si>
  <si>
    <t>Содержание и ремонт братских мест захоронений</t>
  </si>
  <si>
    <t xml:space="preserve">приобретение материалов </t>
  </si>
  <si>
    <t>приобретение спецпродукции (цветы, венки, корзины)</t>
  </si>
  <si>
    <t>05 0 02 02270</t>
  </si>
  <si>
    <t>05 0 02 02260</t>
  </si>
  <si>
    <t>05 0 02 02300</t>
  </si>
  <si>
    <t>МП "МАЛОЕ ПРЕДПРИНИМАТЕЛЬСТВО"</t>
  </si>
  <si>
    <t>0600000000</t>
  </si>
  <si>
    <t>0200000000</t>
  </si>
  <si>
    <t>0100000000</t>
  </si>
  <si>
    <t>0500000000</t>
  </si>
  <si>
    <t>Прочие мероприятия проводимые органами местного самоуправления</t>
  </si>
  <si>
    <t>День поселения</t>
  </si>
  <si>
    <t>01 0 09 01210</t>
  </si>
  <si>
    <t>НЕПРОГРАМНЫЕ РАСХОДЫ</t>
  </si>
  <si>
    <t>областные средства</t>
  </si>
  <si>
    <t>средства поселения</t>
  </si>
  <si>
    <t>средства муниципального района</t>
  </si>
  <si>
    <t>средства населения</t>
  </si>
  <si>
    <t>Реализация проектов развития общественной инфраструктуры, основанных на местных инициативах (по Мин-ву финансов)</t>
  </si>
  <si>
    <t>обл</t>
  </si>
  <si>
    <t>2022 г.</t>
  </si>
  <si>
    <t xml:space="preserve">Резервный фонд </t>
  </si>
  <si>
    <t>приобретение подарочной продукции, цветов, поздравительных открыток, почетных грамот, благодарственных писем, подарков юбилярам</t>
  </si>
  <si>
    <t>оказание материальной помощи</t>
  </si>
  <si>
    <t>стимулирование участия населения в деятельности общественных организаций (добровольные дружины)</t>
  </si>
  <si>
    <t>Заработная плата 37 окладов с индексацией</t>
  </si>
  <si>
    <t>страхование добровольных пожарных дружин (___) и пожарных цистерн</t>
  </si>
  <si>
    <t>05 0 04 …..</t>
  </si>
  <si>
    <t xml:space="preserve">средства поселения </t>
  </si>
  <si>
    <t>ремонт туалета</t>
  </si>
  <si>
    <t>заправка огнетушителей 2 шт* 800 руб.</t>
  </si>
  <si>
    <t>оценка технического состояния аварийного здания бани (предписание прокуратуры)</t>
  </si>
  <si>
    <t xml:space="preserve">услуги по транспортировке пожарной цистерны </t>
  </si>
  <si>
    <t>приобретение помпы для цистерны</t>
  </si>
  <si>
    <t xml:space="preserve">текущий ремонт уличного освещения </t>
  </si>
  <si>
    <t>Глава администрации МО СП с.Шанский Завод                                              О.В. Губина</t>
  </si>
  <si>
    <t>Заработная плата спец-т 37окладов +техничка 34,5оклада с индексацией</t>
  </si>
  <si>
    <t>приобретение инвентаря (ранцевые огнетушители)</t>
  </si>
  <si>
    <t>в том числе: условно утвержденные расходы</t>
  </si>
  <si>
    <t>Расходы без условно утвержденных расходов</t>
  </si>
  <si>
    <t>содержание гражданских мест захоронений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</si>
  <si>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</si>
  <si>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01 0 04 S7030</t>
  </si>
  <si>
    <t>софинансирование 90% область 10 % СП федеральные ?</t>
  </si>
  <si>
    <t>норматив</t>
  </si>
  <si>
    <t>итого за год</t>
  </si>
  <si>
    <t>Начисления на оплату труда</t>
  </si>
  <si>
    <t>Глава администрации МР</t>
  </si>
  <si>
    <t>Глава администрации</t>
  </si>
  <si>
    <t xml:space="preserve">Администрация </t>
  </si>
  <si>
    <t>муниципальные служащие</t>
  </si>
  <si>
    <t>хох.блок</t>
  </si>
  <si>
    <t>ИТОГО</t>
  </si>
  <si>
    <t>ВСЕГО</t>
  </si>
  <si>
    <t>Расчет зарплаты по аппарату по МО СП с. Шанский Завод</t>
  </si>
  <si>
    <t>05 0 03 S0241</t>
  </si>
  <si>
    <t>05 0 03 S0242</t>
  </si>
  <si>
    <t>Реализация общественно-значимых проектов по благоустройству сельских территорий</t>
  </si>
  <si>
    <t>2023 г.</t>
  </si>
  <si>
    <t>ЭЦП Астрал (лицензия на использование КРИПТО ПРО 2250, передача прав на изготовление сертификата ключей 2160)</t>
  </si>
  <si>
    <t>затраты на приобретение оргтехники (2022 год - компьютер в сборке +системный блок 90000руб.% 2023 г. принтер 3 в 1   25000руб.)</t>
  </si>
  <si>
    <t>текущий ремонт кабинета в здании администрации ( кабинет главы)</t>
  </si>
  <si>
    <t>затраты на вывоз ТБО (1601,9*4)</t>
  </si>
  <si>
    <t>затраты на проведение диспансеризации работников (5051,55+5883,55)</t>
  </si>
  <si>
    <t xml:space="preserve">расчет платы за негат. Возд. на окр. Среду и составление отчета (3300*4)  </t>
  </si>
  <si>
    <t>приобретение мебели (стол для заседаний 15000 руб. и стулья 6*1500)</t>
  </si>
  <si>
    <t>затраты на приобретение канц.товаров 12*1000</t>
  </si>
  <si>
    <t>затраты на приобретение хоз.товаров 6*1000</t>
  </si>
  <si>
    <t>880</t>
  </si>
  <si>
    <t>247</t>
  </si>
  <si>
    <t>Стимулирование Главы администрации (за счет средств МР)</t>
  </si>
  <si>
    <t>01 0 01 00170</t>
  </si>
  <si>
    <t>устройство уличного освещения на территории универсальной спортивной площадки в с.Шанский Завод</t>
  </si>
  <si>
    <t>05 0 04 L5760</t>
  </si>
  <si>
    <t>02 0 00 04180</t>
  </si>
  <si>
    <t>Ремонт улично-дорожной сети по ул.Буян с. Шанский Завод протяженностью 541 м.</t>
  </si>
  <si>
    <t>выкашивание территории по договору 7732,49*127,1%*5мес.</t>
  </si>
  <si>
    <t>благоустройство берега р.Шаня</t>
  </si>
  <si>
    <t>приобретение электроэнергии (36865 кВт*7,9094271 руб)</t>
  </si>
  <si>
    <t>Благоустройство гражданского кладбища в с.Шанский Завод</t>
  </si>
  <si>
    <r>
      <t>ремонт дорог внутри поселения (</t>
    </r>
    <r>
      <rPr>
        <b/>
        <sz val="10"/>
        <color indexed="8"/>
        <rFont val="Arial CYR"/>
        <charset val="204"/>
      </rPr>
      <t>НОВАЯ ЦСТР</t>
    </r>
    <r>
      <rPr>
        <sz val="10"/>
        <color indexed="8"/>
        <rFont val="Arial CYR"/>
        <charset val="204"/>
      </rPr>
      <t>)</t>
    </r>
  </si>
  <si>
    <t>замена забора вокруг здания администрации  СП</t>
  </si>
  <si>
    <t>разработка сметы на установку ограждения вокруг здания администрации</t>
  </si>
  <si>
    <t>изготовление тех.плана на места братских захоронений</t>
  </si>
  <si>
    <t>Мероприятия по ликвидации очагов распростанения борщевика Сосновского</t>
  </si>
  <si>
    <t>05 0 02 02210</t>
  </si>
  <si>
    <t>приобретение, доставка и установка контейнеров и контейнерных площадок</t>
  </si>
  <si>
    <t>приобретение ГСМ для бензокосилки и др. товаров для благоустройства</t>
  </si>
  <si>
    <t>вырубка высокорослых и сухостойных насаждений и кустарников</t>
  </si>
  <si>
    <t>строительство нового колодца в д.Тетево</t>
  </si>
  <si>
    <t>РАСХОДЫ БЮДЖЕТА МО СП "Шанский Завод" на 2022- 2024 годы</t>
  </si>
  <si>
    <t>2024 г.</t>
  </si>
  <si>
    <t>Уточненная роспись на 2021 г.</t>
  </si>
  <si>
    <t xml:space="preserve">должностные оклады </t>
  </si>
  <si>
    <t>на 2022-2024 годы</t>
  </si>
  <si>
    <t>проведение топографо-геодезических, картографических и землеустроительных работ (межевание земельных участка для многодетной семьи Азимова)</t>
  </si>
  <si>
    <t>ремонт колодца в д.Ростово, с.Шанский Завод ул.Мирная</t>
  </si>
  <si>
    <t>строительство нового колодца в д.Фокино</t>
  </si>
  <si>
    <t>строительство нового колодца в д.Терехово</t>
  </si>
  <si>
    <t>установка панорамных щитов, изготовление плакатов, установка гидрантов на территории населенных пунктов</t>
  </si>
  <si>
    <t xml:space="preserve">тех.условия на присоединение к эл.сетям 2022 г. - д.Терехово 2023 г. - д.Бабино </t>
  </si>
  <si>
    <t>ремонт уличного освещения  в д.Терехово</t>
  </si>
  <si>
    <t>ремонт уличного освещения  в д.Гиреево</t>
  </si>
  <si>
    <t xml:space="preserve">ремонт уличного освещения  в д.Фокино </t>
  </si>
  <si>
    <t>услуги по содержанию и ремонту памятников</t>
  </si>
  <si>
    <t>разработка и проверка сметной документации на работы по благоустройству</t>
  </si>
  <si>
    <t>Касс. расход на 14.09.21 г.</t>
  </si>
  <si>
    <t>мониторинг связи автоматической пожарной сигнализации</t>
  </si>
  <si>
    <t>изготовление похозяйственных книг учета</t>
  </si>
  <si>
    <t>специальная оценка условий труда на рабочих местах</t>
  </si>
  <si>
    <t>плата за размещение отходов производства объектами за 2020 год</t>
  </si>
  <si>
    <t>Стимулирование работников органов местного самоуправления муниципальных образований Износковского района за достижение наилучших показателей социально-экономического развития муниципальных районов Калужской области</t>
  </si>
  <si>
    <t>360</t>
  </si>
  <si>
    <t>01 0 01 01120</t>
  </si>
  <si>
    <t>ремонт уличного освещения в с.Шанский Завод и в д.Бизяево</t>
  </si>
  <si>
    <t>затраты на услуги связи (абонплата+переговоры+сотовая связь) ((266,40*12)+(2,71*136*12)+(5,06*50*12))+индексация 110%</t>
  </si>
  <si>
    <t>затраты на ТО и ремонт вычислительной техники (заправка  и восстановление картриджей 2967*2шт*5мес+ремонт принтера 1514,89)</t>
  </si>
  <si>
    <t>затраты за сопровождение программ и приобретение лицензий для програмного обеспечения (обслуживание сайта 21500 Прагматик, обновление программы АИС 7000; право регистрации сотрудника в СБИС 1600, ТехноКад 14900)</t>
  </si>
  <si>
    <t>затраты на электроснабжение 1-е полугодие 1336 квт*8,4115025 + 2-е полугодие 1941 квт*8,4115025</t>
  </si>
  <si>
    <t>обращение с твердыми коммунальными отходами</t>
  </si>
  <si>
    <t xml:space="preserve">строительный надзор за выполнением работ по благоустройству </t>
  </si>
  <si>
    <t>должностные оклады на 01.01.22</t>
  </si>
  <si>
    <t>количество месяцев</t>
  </si>
  <si>
    <t>сумма</t>
  </si>
  <si>
    <t>% повышения с 01.10.22</t>
  </si>
  <si>
    <t>на 2022 год</t>
  </si>
  <si>
    <t xml:space="preserve">Глава администрации </t>
  </si>
  <si>
    <t>эксперты</t>
  </si>
  <si>
    <t xml:space="preserve"> на 2023 год</t>
  </si>
  <si>
    <t>должностные оклады на 01.01.23</t>
  </si>
  <si>
    <t>нор-матив</t>
  </si>
  <si>
    <t>% повышения с 01.10.23</t>
  </si>
  <si>
    <t>Администрация</t>
  </si>
  <si>
    <t xml:space="preserve"> на 2024 год</t>
  </si>
  <si>
    <t>должностные оклады с повышением с 01.10.24</t>
  </si>
  <si>
    <t>% повышения с 01.10.24</t>
  </si>
  <si>
    <t>Расчет зарплаты по аппарату по МО СП с.Шанский Завод</t>
  </si>
  <si>
    <t>Ремонт улично-дорожной сети по д.Никулино протяженностью 1383 м.</t>
  </si>
  <si>
    <t>Ремонт улично-дорожной сети по д.Фокино протяженностью 1119 м.</t>
  </si>
  <si>
    <t xml:space="preserve"> в том числе налоговые и неналоговые доходы  + от населения и ИП (развитие сельских территорий )</t>
  </si>
  <si>
    <t>в том числе по собственным средствам</t>
  </si>
  <si>
    <t>доходы бюджета за счет собственных средств</t>
  </si>
  <si>
    <t>работы по уборке территориии СП (по договору 6000*127,1%*7мес)</t>
  </si>
  <si>
    <t xml:space="preserve">Устройство уличного освещения в д.Фокино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</si>
</sst>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3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1"/>
      <name val="Arial Cyr"/>
      <family val="2"/>
      <charset val="204"/>
    </font>
    <font>
      <i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i/>
      <sz val="10"/>
      <color indexed="8"/>
      <name val="Arial Cyr"/>
      <charset val="204"/>
    </font>
    <font>
      <b/>
      <i/>
      <sz val="10"/>
      <color indexed="8"/>
      <name val="Arial Cyr"/>
      <charset val="204"/>
    </font>
    <font>
      <i/>
      <sz val="10"/>
      <name val="Arial Cyr"/>
      <charset val="204"/>
    </font>
    <font>
      <i/>
      <sz val="10"/>
      <name val="Arial Cyr"/>
      <family val="2"/>
      <charset val="204"/>
    </font>
    <font>
      <i/>
      <sz val="10"/>
      <name val="Arial"/>
      <family val="2"/>
      <charset val="204"/>
    </font>
    <font>
      <b/>
      <sz val="11"/>
      <name val="Arial Cyr"/>
      <charset val="204"/>
    </font>
    <font>
      <sz val="10"/>
      <color rgb="FF000000"/>
      <name val="Arial Cyr"/>
      <family val="2"/>
    </font>
    <font>
      <b/>
      <sz val="11"/>
      <color indexed="8"/>
      <name val="Arial CYR"/>
      <charset val="204"/>
    </font>
    <font>
      <b/>
      <sz val="12"/>
      <name val="Times New Roman"/>
      <family val="1"/>
      <charset val="204"/>
    </font>
    <font>
      <b/>
      <i/>
      <sz val="11"/>
      <name val="Arial Cyr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i/>
      <sz val="10"/>
      <color rgb="FFFF0000"/>
      <name val="Arial Cyr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</font>
    <font>
      <i/>
      <sz val="11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26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6">
    <xf numFmtId="0" fontId="0" fillId="0" borderId="0"/>
    <xf numFmtId="0" fontId="2" fillId="2" borderId="0"/>
    <xf numFmtId="49" fontId="21" fillId="0" borderId="13">
      <alignment vertical="top" wrapText="1"/>
    </xf>
    <xf numFmtId="0" fontId="25" fillId="0" borderId="0"/>
    <xf numFmtId="0" fontId="25" fillId="0" borderId="0"/>
    <xf numFmtId="0" fontId="25" fillId="0" borderId="0"/>
    <xf numFmtId="0" fontId="4" fillId="0" borderId="0"/>
    <xf numFmtId="0" fontId="4" fillId="0" borderId="0"/>
    <xf numFmtId="0" fontId="25" fillId="0" borderId="0"/>
    <xf numFmtId="0" fontId="4" fillId="8" borderId="0"/>
    <xf numFmtId="0" fontId="4" fillId="0" borderId="0">
      <alignment wrapText="1"/>
    </xf>
    <xf numFmtId="0" fontId="4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4" fillId="0" borderId="0">
      <alignment horizontal="right"/>
    </xf>
    <xf numFmtId="0" fontId="4" fillId="8" borderId="12"/>
    <xf numFmtId="0" fontId="4" fillId="0" borderId="1">
      <alignment horizontal="center" vertical="center" wrapText="1"/>
    </xf>
    <xf numFmtId="0" fontId="4" fillId="8" borderId="5"/>
    <xf numFmtId="49" fontId="4" fillId="0" borderId="1">
      <alignment horizontal="left" vertical="top" wrapText="1" indent="2"/>
    </xf>
    <xf numFmtId="49" fontId="4" fillId="0" borderId="1">
      <alignment horizontal="center" vertical="top" shrinkToFit="1"/>
    </xf>
    <xf numFmtId="4" fontId="4" fillId="0" borderId="1">
      <alignment horizontal="right" vertical="top" shrinkToFit="1"/>
    </xf>
    <xf numFmtId="10" fontId="4" fillId="0" borderId="1">
      <alignment horizontal="right" vertical="top" shrinkToFit="1"/>
    </xf>
    <xf numFmtId="0" fontId="4" fillId="8" borderId="5">
      <alignment shrinkToFit="1"/>
    </xf>
    <xf numFmtId="0" fontId="6" fillId="0" borderId="1">
      <alignment horizontal="left"/>
    </xf>
    <xf numFmtId="4" fontId="6" fillId="9" borderId="1">
      <alignment horizontal="right" vertical="top" shrinkToFit="1"/>
    </xf>
    <xf numFmtId="10" fontId="6" fillId="9" borderId="1">
      <alignment horizontal="right" vertical="top" shrinkToFit="1"/>
    </xf>
    <xf numFmtId="0" fontId="4" fillId="8" borderId="21"/>
    <xf numFmtId="0" fontId="4" fillId="0" borderId="0">
      <alignment horizontal="left" wrapText="1"/>
    </xf>
    <xf numFmtId="0" fontId="6" fillId="0" borderId="1">
      <alignment vertical="top" wrapText="1"/>
    </xf>
    <xf numFmtId="4" fontId="6" fillId="10" borderId="1">
      <alignment horizontal="right" vertical="top" shrinkToFit="1"/>
    </xf>
    <xf numFmtId="10" fontId="6" fillId="10" borderId="1">
      <alignment horizontal="right" vertical="top" shrinkToFit="1"/>
    </xf>
    <xf numFmtId="0" fontId="4" fillId="8" borderId="5">
      <alignment horizontal="center"/>
    </xf>
    <xf numFmtId="0" fontId="4" fillId="8" borderId="5">
      <alignment horizontal="left"/>
    </xf>
    <xf numFmtId="0" fontId="4" fillId="8" borderId="21">
      <alignment horizontal="center"/>
    </xf>
    <xf numFmtId="0" fontId="4" fillId="8" borderId="21">
      <alignment horizontal="left"/>
    </xf>
    <xf numFmtId="4" fontId="26" fillId="11" borderId="13">
      <alignment horizontal="right" vertical="top" shrinkToFit="1"/>
    </xf>
  </cellStyleXfs>
  <cellXfs count="277">
    <xf numFmtId="0" fontId="0" fillId="0" borderId="0" xfId="0"/>
    <xf numFmtId="0" fontId="2" fillId="2" borderId="0" xfId="1"/>
    <xf numFmtId="0" fontId="2" fillId="2" borderId="1" xfId="1" applyFont="1" applyBorder="1" applyAlignment="1">
      <alignment horizontal="center"/>
    </xf>
    <xf numFmtId="0" fontId="6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vertical="top" wrapText="1"/>
    </xf>
    <xf numFmtId="0" fontId="11" fillId="2" borderId="1" xfId="1" applyFont="1" applyFill="1" applyBorder="1" applyAlignment="1">
      <alignment vertical="top" wrapText="1"/>
    </xf>
    <xf numFmtId="0" fontId="2" fillId="2" borderId="0" xfId="1" applyAlignment="1"/>
    <xf numFmtId="0" fontId="10" fillId="2" borderId="1" xfId="1" applyFont="1" applyFill="1" applyBorder="1" applyAlignment="1">
      <alignment vertical="top" wrapText="1"/>
    </xf>
    <xf numFmtId="0" fontId="15" fillId="2" borderId="1" xfId="1" applyFont="1" applyFill="1" applyBorder="1" applyAlignment="1">
      <alignment vertical="top" wrapText="1"/>
    </xf>
    <xf numFmtId="0" fontId="15" fillId="0" borderId="1" xfId="1" applyFont="1" applyFill="1" applyBorder="1" applyAlignment="1">
      <alignment vertical="top" wrapText="1"/>
    </xf>
    <xf numFmtId="0" fontId="17" fillId="2" borderId="1" xfId="1" applyFont="1" applyFill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0" xfId="1" applyFont="1"/>
    <xf numFmtId="0" fontId="5" fillId="2" borderId="1" xfId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 shrinkToFit="1"/>
    </xf>
    <xf numFmtId="49" fontId="10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shrinkToFit="1"/>
    </xf>
    <xf numFmtId="49" fontId="11" fillId="2" borderId="1" xfId="0" applyNumberFormat="1" applyFont="1" applyFill="1" applyBorder="1" applyAlignment="1">
      <alignment horizontal="center" vertical="top" wrapText="1"/>
    </xf>
    <xf numFmtId="49" fontId="13" fillId="0" borderId="7" xfId="0" applyNumberFormat="1" applyFont="1" applyBorder="1" applyAlignment="1">
      <alignment vertical="top"/>
    </xf>
    <xf numFmtId="49" fontId="1" fillId="0" borderId="7" xfId="0" applyNumberFormat="1" applyFont="1" applyBorder="1" applyAlignment="1">
      <alignment vertical="top"/>
    </xf>
    <xf numFmtId="49" fontId="15" fillId="2" borderId="1" xfId="0" applyNumberFormat="1" applyFont="1" applyFill="1" applyBorder="1" applyAlignment="1">
      <alignment horizontal="center" vertical="top" shrinkToFi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top" shrinkToFit="1"/>
    </xf>
    <xf numFmtId="49" fontId="15" fillId="0" borderId="1" xfId="0" applyNumberFormat="1" applyFont="1" applyFill="1" applyBorder="1" applyAlignment="1">
      <alignment horizontal="center" vertical="top" wrapText="1"/>
    </xf>
    <xf numFmtId="49" fontId="17" fillId="2" borderId="1" xfId="0" applyNumberFormat="1" applyFont="1" applyFill="1" applyBorder="1" applyAlignment="1">
      <alignment horizontal="center" vertical="top" shrinkToFit="1"/>
    </xf>
    <xf numFmtId="49" fontId="17" fillId="2" borderId="1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shrinkToFit="1"/>
    </xf>
    <xf numFmtId="49" fontId="17" fillId="0" borderId="7" xfId="0" applyNumberFormat="1" applyFont="1" applyBorder="1" applyAlignment="1">
      <alignment vertical="top"/>
    </xf>
    <xf numFmtId="49" fontId="0" fillId="2" borderId="1" xfId="0" applyNumberFormat="1" applyFont="1" applyFill="1" applyBorder="1" applyAlignment="1">
      <alignment horizontal="center" vertical="top" shrinkToFit="1"/>
    </xf>
    <xf numFmtId="49" fontId="0" fillId="2" borderId="1" xfId="0" applyNumberFormat="1" applyFill="1" applyBorder="1" applyAlignment="1">
      <alignment horizontal="center" vertical="top" shrinkToFit="1"/>
    </xf>
    <xf numFmtId="49" fontId="13" fillId="2" borderId="1" xfId="0" applyNumberFormat="1" applyFont="1" applyFill="1" applyBorder="1" applyAlignment="1">
      <alignment horizontal="center" vertical="top" shrinkToFit="1"/>
    </xf>
    <xf numFmtId="49" fontId="11" fillId="2" borderId="1" xfId="0" applyNumberFormat="1" applyFont="1" applyFill="1" applyBorder="1" applyAlignment="1">
      <alignment horizontal="center" vertical="top" shrinkToFit="1"/>
    </xf>
    <xf numFmtId="0" fontId="2" fillId="2" borderId="7" xfId="1" applyFont="1" applyFill="1" applyBorder="1" applyAlignment="1">
      <alignment vertical="top" wrapText="1"/>
    </xf>
    <xf numFmtId="49" fontId="0" fillId="2" borderId="6" xfId="0" applyNumberFormat="1" applyFont="1" applyFill="1" applyBorder="1" applyAlignment="1">
      <alignment horizontal="center" vertical="top" shrinkToFit="1"/>
    </xf>
    <xf numFmtId="0" fontId="1" fillId="0" borderId="7" xfId="0" applyFont="1" applyBorder="1" applyAlignment="1">
      <alignment horizontal="center" vertical="top"/>
    </xf>
    <xf numFmtId="0" fontId="2" fillId="0" borderId="2" xfId="1" applyFont="1" applyFill="1" applyBorder="1" applyAlignment="1">
      <alignment vertical="top" wrapText="1"/>
    </xf>
    <xf numFmtId="0" fontId="13" fillId="0" borderId="7" xfId="0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shrinkToFit="1"/>
    </xf>
    <xf numFmtId="49" fontId="9" fillId="2" borderId="4" xfId="0" applyNumberFormat="1" applyFont="1" applyFill="1" applyBorder="1" applyAlignment="1">
      <alignment horizontal="center" vertical="top" shrinkToFit="1"/>
    </xf>
    <xf numFmtId="49" fontId="9" fillId="2" borderId="7" xfId="0" applyNumberFormat="1" applyFont="1" applyFill="1" applyBorder="1" applyAlignment="1">
      <alignment horizontal="center" vertical="top" wrapText="1"/>
    </xf>
    <xf numFmtId="49" fontId="9" fillId="2" borderId="6" xfId="0" applyNumberFormat="1" applyFont="1" applyFill="1" applyBorder="1" applyAlignment="1">
      <alignment horizontal="center" vertical="top" shrinkToFit="1"/>
    </xf>
    <xf numFmtId="0" fontId="19" fillId="0" borderId="1" xfId="0" applyFont="1" applyBorder="1" applyAlignment="1">
      <alignment vertical="top" wrapText="1"/>
    </xf>
    <xf numFmtId="0" fontId="17" fillId="0" borderId="7" xfId="0" applyFont="1" applyBorder="1" applyAlignment="1">
      <alignment horizontal="center" vertical="top"/>
    </xf>
    <xf numFmtId="49" fontId="0" fillId="0" borderId="7" xfId="0" applyNumberFormat="1" applyBorder="1" applyAlignment="1">
      <alignment vertical="top"/>
    </xf>
    <xf numFmtId="49" fontId="0" fillId="2" borderId="4" xfId="0" applyNumberFormat="1" applyFont="1" applyFill="1" applyBorder="1" applyAlignment="1">
      <alignment horizontal="center" vertical="top" shrinkToFit="1"/>
    </xf>
    <xf numFmtId="0" fontId="4" fillId="2" borderId="3" xfId="1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horizontal="center" vertical="top" shrinkToFit="1"/>
    </xf>
    <xf numFmtId="0" fontId="6" fillId="0" borderId="2" xfId="1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top" shrinkToFit="1"/>
    </xf>
    <xf numFmtId="49" fontId="6" fillId="0" borderId="2" xfId="0" applyNumberFormat="1" applyFont="1" applyFill="1" applyBorder="1" applyAlignment="1">
      <alignment horizontal="center" vertical="top" wrapText="1"/>
    </xf>
    <xf numFmtId="0" fontId="15" fillId="2" borderId="7" xfId="1" applyFont="1" applyFill="1" applyBorder="1" applyAlignment="1">
      <alignment vertical="top" wrapText="1"/>
    </xf>
    <xf numFmtId="49" fontId="15" fillId="0" borderId="7" xfId="0" applyNumberFormat="1" applyFont="1" applyFill="1" applyBorder="1" applyAlignment="1">
      <alignment horizontal="center" vertical="top" shrinkToFit="1"/>
    </xf>
    <xf numFmtId="49" fontId="13" fillId="0" borderId="0" xfId="0" applyNumberFormat="1" applyFont="1" applyBorder="1" applyAlignment="1">
      <alignment vertical="top"/>
    </xf>
    <xf numFmtId="0" fontId="17" fillId="3" borderId="7" xfId="0" applyFont="1" applyFill="1" applyBorder="1" applyAlignment="1">
      <alignment horizontal="center" vertical="top"/>
    </xf>
    <xf numFmtId="4" fontId="7" fillId="2" borderId="1" xfId="1" applyNumberFormat="1" applyFont="1" applyBorder="1" applyAlignment="1">
      <alignment vertical="top"/>
    </xf>
    <xf numFmtId="4" fontId="2" fillId="2" borderId="1" xfId="1" applyNumberFormat="1" applyBorder="1" applyAlignment="1">
      <alignment horizontal="right" vertical="top"/>
    </xf>
    <xf numFmtId="4" fontId="1" fillId="2" borderId="1" xfId="1" applyNumberFormat="1" applyFont="1" applyBorder="1" applyAlignment="1">
      <alignment vertical="top"/>
    </xf>
    <xf numFmtId="4" fontId="6" fillId="2" borderId="2" xfId="1" applyNumberFormat="1" applyFont="1" applyFill="1" applyBorder="1" applyAlignment="1">
      <alignment horizontal="right" vertical="top" wrapText="1"/>
    </xf>
    <xf numFmtId="4" fontId="10" fillId="0" borderId="1" xfId="1" applyNumberFormat="1" applyFont="1" applyFill="1" applyBorder="1" applyAlignment="1">
      <alignment horizontal="right" vertical="top" shrinkToFit="1"/>
    </xf>
    <xf numFmtId="4" fontId="2" fillId="0" borderId="1" xfId="1" applyNumberFormat="1" applyFill="1" applyBorder="1" applyAlignment="1">
      <alignment vertical="top"/>
    </xf>
    <xf numFmtId="4" fontId="2" fillId="2" borderId="1" xfId="1" applyNumberFormat="1" applyBorder="1" applyAlignment="1">
      <alignment vertical="top"/>
    </xf>
    <xf numFmtId="4" fontId="4" fillId="0" borderId="1" xfId="1" applyNumberFormat="1" applyFont="1" applyFill="1" applyBorder="1" applyAlignment="1">
      <alignment horizontal="right" vertical="top" shrinkToFit="1"/>
    </xf>
    <xf numFmtId="4" fontId="15" fillId="0" borderId="1" xfId="1" applyNumberFormat="1" applyFont="1" applyFill="1" applyBorder="1" applyAlignment="1">
      <alignment horizontal="right" vertical="top" shrinkToFit="1"/>
    </xf>
    <xf numFmtId="4" fontId="17" fillId="0" borderId="1" xfId="1" applyNumberFormat="1" applyFont="1" applyFill="1" applyBorder="1" applyAlignment="1">
      <alignment vertical="top"/>
    </xf>
    <xf numFmtId="4" fontId="4" fillId="0" borderId="2" xfId="1" applyNumberFormat="1" applyFont="1" applyFill="1" applyBorder="1" applyAlignment="1">
      <alignment horizontal="right" vertical="top" shrinkToFit="1"/>
    </xf>
    <xf numFmtId="4" fontId="4" fillId="0" borderId="3" xfId="1" applyNumberFormat="1" applyFont="1" applyFill="1" applyBorder="1" applyAlignment="1">
      <alignment horizontal="right" vertical="top" shrinkToFit="1"/>
    </xf>
    <xf numFmtId="4" fontId="15" fillId="0" borderId="7" xfId="1" applyNumberFormat="1" applyFont="1" applyFill="1" applyBorder="1" applyAlignment="1">
      <alignment horizontal="right" vertical="top" shrinkToFit="1"/>
    </xf>
    <xf numFmtId="4" fontId="2" fillId="0" borderId="1" xfId="1" applyNumberFormat="1" applyFont="1" applyFill="1" applyBorder="1" applyAlignment="1">
      <alignment horizontal="right" vertical="top" shrinkToFit="1"/>
    </xf>
    <xf numFmtId="4" fontId="13" fillId="0" borderId="1" xfId="1" applyNumberFormat="1" applyFont="1" applyFill="1" applyBorder="1" applyAlignment="1">
      <alignment vertical="top"/>
    </xf>
    <xf numFmtId="4" fontId="11" fillId="0" borderId="1" xfId="1" applyNumberFormat="1" applyFont="1" applyFill="1" applyBorder="1" applyAlignment="1">
      <alignment horizontal="right" vertical="top" shrinkToFit="1"/>
    </xf>
    <xf numFmtId="4" fontId="18" fillId="0" borderId="1" xfId="1" applyNumberFormat="1" applyFont="1" applyFill="1" applyBorder="1" applyAlignment="1">
      <alignment vertical="top"/>
    </xf>
    <xf numFmtId="4" fontId="17" fillId="0" borderId="1" xfId="1" applyNumberFormat="1" applyFont="1" applyFill="1" applyBorder="1" applyAlignment="1">
      <alignment horizontal="right" vertical="top" shrinkToFit="1"/>
    </xf>
    <xf numFmtId="4" fontId="12" fillId="0" borderId="1" xfId="1" applyNumberFormat="1" applyFont="1" applyFill="1" applyBorder="1" applyAlignment="1">
      <alignment horizontal="right" vertical="top" shrinkToFit="1"/>
    </xf>
    <xf numFmtId="4" fontId="17" fillId="3" borderId="1" xfId="1" applyNumberFormat="1" applyFont="1" applyFill="1" applyBorder="1" applyAlignment="1">
      <alignment horizontal="right" vertical="top" shrinkToFit="1"/>
    </xf>
    <xf numFmtId="4" fontId="13" fillId="0" borderId="1" xfId="1" applyNumberFormat="1" applyFont="1" applyFill="1" applyBorder="1" applyAlignment="1">
      <alignment horizontal="right" vertical="top" shrinkToFit="1"/>
    </xf>
    <xf numFmtId="0" fontId="4" fillId="0" borderId="1" xfId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shrinkToFit="1"/>
    </xf>
    <xf numFmtId="0" fontId="9" fillId="0" borderId="1" xfId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top" shrinkToFit="1"/>
    </xf>
    <xf numFmtId="49" fontId="9" fillId="0" borderId="1" xfId="0" applyNumberFormat="1" applyFont="1" applyFill="1" applyBorder="1" applyAlignment="1">
      <alignment horizontal="center" vertical="top" wrapText="1"/>
    </xf>
    <xf numFmtId="49" fontId="0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 vertical="top"/>
    </xf>
    <xf numFmtId="0" fontId="17" fillId="2" borderId="1" xfId="1" applyFont="1" applyFill="1" applyBorder="1" applyAlignment="1">
      <alignment horizontal="left" vertical="top" wrapText="1"/>
    </xf>
    <xf numFmtId="49" fontId="17" fillId="2" borderId="4" xfId="0" applyNumberFormat="1" applyFont="1" applyFill="1" applyBorder="1" applyAlignment="1">
      <alignment horizontal="center" vertical="top" shrinkToFit="1"/>
    </xf>
    <xf numFmtId="49" fontId="17" fillId="2" borderId="6" xfId="0" applyNumberFormat="1" applyFont="1" applyFill="1" applyBorder="1" applyAlignment="1">
      <alignment horizontal="center" vertical="top" shrinkToFit="1"/>
    </xf>
    <xf numFmtId="4" fontId="10" fillId="6" borderId="2" xfId="1" applyNumberFormat="1" applyFont="1" applyFill="1" applyBorder="1" applyAlignment="1">
      <alignment horizontal="right" vertical="top" wrapText="1"/>
    </xf>
    <xf numFmtId="0" fontId="20" fillId="6" borderId="1" xfId="1" applyFont="1" applyFill="1" applyBorder="1" applyAlignment="1">
      <alignment horizontal="center" vertical="top" wrapText="1"/>
    </xf>
    <xf numFmtId="4" fontId="17" fillId="2" borderId="1" xfId="1" applyNumberFormat="1" applyFont="1" applyBorder="1" applyAlignment="1">
      <alignment vertical="top"/>
    </xf>
    <xf numFmtId="4" fontId="9" fillId="0" borderId="1" xfId="1" applyNumberFormat="1" applyFont="1" applyFill="1" applyBorder="1" applyAlignment="1">
      <alignment horizontal="right" vertical="top" shrinkToFit="1"/>
    </xf>
    <xf numFmtId="0" fontId="15" fillId="2" borderId="2" xfId="1" applyFont="1" applyFill="1" applyBorder="1" applyAlignment="1">
      <alignment vertical="top" wrapText="1"/>
    </xf>
    <xf numFmtId="0" fontId="15" fillId="2" borderId="3" xfId="1" applyFont="1" applyFill="1" applyBorder="1" applyAlignment="1">
      <alignment vertical="top" wrapText="1"/>
    </xf>
    <xf numFmtId="49" fontId="15" fillId="2" borderId="3" xfId="0" applyNumberFormat="1" applyFont="1" applyFill="1" applyBorder="1" applyAlignment="1">
      <alignment horizontal="center" vertical="top" shrinkToFit="1"/>
    </xf>
    <xf numFmtId="49" fontId="17" fillId="0" borderId="8" xfId="0" applyNumberFormat="1" applyFont="1" applyBorder="1" applyAlignment="1">
      <alignment vertical="top"/>
    </xf>
    <xf numFmtId="49" fontId="15" fillId="2" borderId="7" xfId="0" applyNumberFormat="1" applyFont="1" applyFill="1" applyBorder="1" applyAlignment="1">
      <alignment horizontal="center" vertical="top" shrinkToFit="1"/>
    </xf>
    <xf numFmtId="49" fontId="15" fillId="2" borderId="6" xfId="0" applyNumberFormat="1" applyFont="1" applyFill="1" applyBorder="1" applyAlignment="1">
      <alignment horizontal="center" vertical="top" shrinkToFit="1"/>
    </xf>
    <xf numFmtId="4" fontId="4" fillId="2" borderId="2" xfId="0" applyNumberFormat="1" applyFont="1" applyFill="1" applyBorder="1" applyAlignment="1">
      <alignment horizontal="right" vertical="top" wrapText="1"/>
    </xf>
    <xf numFmtId="49" fontId="13" fillId="2" borderId="4" xfId="0" applyNumberFormat="1" applyFont="1" applyFill="1" applyBorder="1" applyAlignment="1">
      <alignment horizontal="center" vertical="top" shrinkToFit="1"/>
    </xf>
    <xf numFmtId="49" fontId="13" fillId="2" borderId="6" xfId="0" applyNumberFormat="1" applyFont="1" applyFill="1" applyBorder="1" applyAlignment="1">
      <alignment horizontal="center" vertical="top" shrinkToFit="1"/>
    </xf>
    <xf numFmtId="0" fontId="11" fillId="0" borderId="4" xfId="1" applyFont="1" applyFill="1" applyBorder="1" applyAlignment="1">
      <alignment horizontal="left" vertical="top" wrapText="1"/>
    </xf>
    <xf numFmtId="49" fontId="11" fillId="0" borderId="7" xfId="0" applyNumberFormat="1" applyFont="1" applyFill="1" applyBorder="1" applyAlignment="1">
      <alignment horizontal="center" vertical="top" shrinkToFit="1"/>
    </xf>
    <xf numFmtId="49" fontId="11" fillId="0" borderId="7" xfId="0" applyNumberFormat="1" applyFont="1" applyFill="1" applyBorder="1" applyAlignment="1">
      <alignment horizontal="center" vertical="top" wrapText="1"/>
    </xf>
    <xf numFmtId="4" fontId="11" fillId="0" borderId="6" xfId="1" applyNumberFormat="1" applyFont="1" applyFill="1" applyBorder="1" applyAlignment="1">
      <alignment horizontal="right" vertical="top" shrinkToFit="1"/>
    </xf>
    <xf numFmtId="4" fontId="10" fillId="5" borderId="1" xfId="1" applyNumberFormat="1" applyFont="1" applyFill="1" applyBorder="1" applyAlignment="1">
      <alignment horizontal="right" vertical="top" shrinkToFit="1"/>
    </xf>
    <xf numFmtId="0" fontId="13" fillId="2" borderId="1" xfId="1" applyFont="1" applyFill="1" applyBorder="1" applyAlignment="1">
      <alignment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" fillId="2" borderId="1" xfId="1" applyFont="1" applyFill="1" applyBorder="1" applyAlignment="1">
      <alignment vertical="top" wrapText="1"/>
    </xf>
    <xf numFmtId="0" fontId="0" fillId="0" borderId="7" xfId="0" applyFont="1" applyBorder="1" applyAlignment="1">
      <alignment horizontal="center" vertical="top"/>
    </xf>
    <xf numFmtId="0" fontId="1" fillId="2" borderId="1" xfId="1" applyFont="1" applyFill="1" applyBorder="1" applyAlignment="1">
      <alignment horizontal="left" vertical="top" wrapText="1"/>
    </xf>
    <xf numFmtId="0" fontId="1" fillId="2" borderId="3" xfId="1" applyFont="1" applyFill="1" applyBorder="1" applyAlignment="1">
      <alignment vertical="top" wrapText="1"/>
    </xf>
    <xf numFmtId="49" fontId="11" fillId="7" borderId="7" xfId="0" applyNumberFormat="1" applyFont="1" applyFill="1" applyBorder="1" applyAlignment="1">
      <alignment horizontal="center" vertical="top" wrapText="1"/>
    </xf>
    <xf numFmtId="49" fontId="10" fillId="2" borderId="4" xfId="0" applyNumberFormat="1" applyFont="1" applyFill="1" applyBorder="1" applyAlignment="1">
      <alignment horizontal="center" vertical="top" shrinkToFit="1"/>
    </xf>
    <xf numFmtId="49" fontId="15" fillId="2" borderId="4" xfId="0" applyNumberFormat="1" applyFont="1" applyFill="1" applyBorder="1" applyAlignment="1">
      <alignment horizontal="center" vertical="top" shrinkToFit="1"/>
    </xf>
    <xf numFmtId="49" fontId="10" fillId="2" borderId="6" xfId="0" applyNumberFormat="1" applyFont="1" applyFill="1" applyBorder="1" applyAlignment="1">
      <alignment horizontal="center" vertical="top" shrinkToFit="1"/>
    </xf>
    <xf numFmtId="49" fontId="15" fillId="2" borderId="3" xfId="0" applyNumberFormat="1" applyFont="1" applyFill="1" applyBorder="1" applyAlignment="1">
      <alignment horizontal="center" vertical="top" wrapText="1"/>
    </xf>
    <xf numFmtId="49" fontId="10" fillId="2" borderId="7" xfId="0" applyNumberFormat="1" applyFont="1" applyFill="1" applyBorder="1" applyAlignment="1">
      <alignment horizontal="center" vertical="top" wrapText="1"/>
    </xf>
    <xf numFmtId="49" fontId="15" fillId="2" borderId="7" xfId="0" applyNumberFormat="1" applyFont="1" applyFill="1" applyBorder="1" applyAlignment="1">
      <alignment horizontal="center" vertical="top" wrapText="1"/>
    </xf>
    <xf numFmtId="49" fontId="11" fillId="2" borderId="6" xfId="0" applyNumberFormat="1" applyFont="1" applyFill="1" applyBorder="1" applyAlignment="1">
      <alignment horizontal="center" vertical="top" shrinkToFit="1"/>
    </xf>
    <xf numFmtId="49" fontId="10" fillId="2" borderId="3" xfId="0" applyNumberFormat="1" applyFont="1" applyFill="1" applyBorder="1" applyAlignment="1">
      <alignment horizontal="center" vertical="top" shrinkToFit="1"/>
    </xf>
    <xf numFmtId="49" fontId="13" fillId="0" borderId="8" xfId="0" applyNumberFormat="1" applyFont="1" applyBorder="1" applyAlignment="1">
      <alignment vertical="top"/>
    </xf>
    <xf numFmtId="0" fontId="23" fillId="0" borderId="7" xfId="0" applyFont="1" applyFill="1" applyBorder="1" applyAlignment="1">
      <alignment vertical="top" wrapText="1"/>
    </xf>
    <xf numFmtId="0" fontId="17" fillId="2" borderId="4" xfId="1" applyFont="1" applyFill="1" applyBorder="1" applyAlignment="1">
      <alignment vertical="top" wrapText="1"/>
    </xf>
    <xf numFmtId="49" fontId="17" fillId="2" borderId="7" xfId="0" applyNumberFormat="1" applyFont="1" applyFill="1" applyBorder="1" applyAlignment="1">
      <alignment horizontal="center" vertical="top" shrinkToFit="1"/>
    </xf>
    <xf numFmtId="0" fontId="10" fillId="0" borderId="4" xfId="1" applyFont="1" applyFill="1" applyBorder="1" applyAlignment="1">
      <alignment vertical="top" wrapText="1"/>
    </xf>
    <xf numFmtId="49" fontId="10" fillId="0" borderId="7" xfId="0" applyNumberFormat="1" applyFont="1" applyFill="1" applyBorder="1" applyAlignment="1">
      <alignment horizontal="center" vertical="top" shrinkToFit="1"/>
    </xf>
    <xf numFmtId="49" fontId="10" fillId="0" borderId="7" xfId="0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right" vertical="top" wrapText="1"/>
    </xf>
    <xf numFmtId="0" fontId="10" fillId="0" borderId="1" xfId="1" applyFont="1" applyFill="1" applyBorder="1" applyAlignment="1">
      <alignment vertical="top" wrapText="1"/>
    </xf>
    <xf numFmtId="49" fontId="11" fillId="0" borderId="6" xfId="0" applyNumberFormat="1" applyFont="1" applyFill="1" applyBorder="1" applyAlignment="1">
      <alignment horizontal="center" vertical="top" shrinkToFit="1"/>
    </xf>
    <xf numFmtId="49" fontId="10" fillId="0" borderId="6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shrinkToFit="1"/>
    </xf>
    <xf numFmtId="0" fontId="10" fillId="4" borderId="2" xfId="1" applyFont="1" applyFill="1" applyBorder="1" applyAlignment="1">
      <alignment horizontal="center" vertical="top" wrapText="1"/>
    </xf>
    <xf numFmtId="4" fontId="10" fillId="5" borderId="2" xfId="1" applyNumberFormat="1" applyFont="1" applyFill="1" applyBorder="1" applyAlignment="1">
      <alignment horizontal="right" vertical="top" shrinkToFit="1"/>
    </xf>
    <xf numFmtId="0" fontId="10" fillId="4" borderId="4" xfId="1" applyFont="1" applyFill="1" applyBorder="1" applyAlignment="1">
      <alignment horizontal="center" vertical="top" wrapText="1"/>
    </xf>
    <xf numFmtId="0" fontId="13" fillId="4" borderId="1" xfId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shrinkToFit="1"/>
    </xf>
    <xf numFmtId="49" fontId="10" fillId="0" borderId="1" xfId="0" applyNumberFormat="1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top" shrinkToFit="1"/>
    </xf>
    <xf numFmtId="49" fontId="12" fillId="0" borderId="1" xfId="0" applyNumberFormat="1" applyFont="1" applyFill="1" applyBorder="1" applyAlignment="1">
      <alignment horizontal="center" vertical="top" wrapText="1"/>
    </xf>
    <xf numFmtId="0" fontId="10" fillId="4" borderId="1" xfId="1" applyFont="1" applyFill="1" applyBorder="1" applyAlignment="1">
      <alignment horizontal="center" vertical="top" wrapText="1"/>
    </xf>
    <xf numFmtId="49" fontId="10" fillId="4" borderId="1" xfId="0" applyNumberFormat="1" applyFont="1" applyFill="1" applyBorder="1" applyAlignment="1">
      <alignment horizontal="center" vertical="top" shrinkToFit="1"/>
    </xf>
    <xf numFmtId="0" fontId="13" fillId="5" borderId="0" xfId="0" applyFont="1" applyFill="1" applyBorder="1" applyAlignment="1">
      <alignment horizontal="center" vertical="top"/>
    </xf>
    <xf numFmtId="4" fontId="13" fillId="5" borderId="1" xfId="1" applyNumberFormat="1" applyFont="1" applyFill="1" applyBorder="1" applyAlignment="1">
      <alignment vertical="top"/>
    </xf>
    <xf numFmtId="0" fontId="10" fillId="2" borderId="3" xfId="1" applyFont="1" applyFill="1" applyBorder="1" applyAlignment="1">
      <alignment vertical="top" wrapText="1"/>
    </xf>
    <xf numFmtId="4" fontId="13" fillId="0" borderId="3" xfId="1" applyNumberFormat="1" applyFont="1" applyFill="1" applyBorder="1" applyAlignment="1">
      <alignment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0" fillId="2" borderId="14" xfId="1" applyFont="1" applyFill="1" applyBorder="1" applyAlignment="1">
      <alignment vertical="top" wrapText="1"/>
    </xf>
    <xf numFmtId="49" fontId="10" fillId="2" borderId="19" xfId="0" applyNumberFormat="1" applyFont="1" applyFill="1" applyBorder="1" applyAlignment="1">
      <alignment horizontal="center" vertical="top" shrinkToFit="1"/>
    </xf>
    <xf numFmtId="49" fontId="13" fillId="0" borderId="19" xfId="0" applyNumberFormat="1" applyFont="1" applyBorder="1" applyAlignment="1">
      <alignment vertical="top"/>
    </xf>
    <xf numFmtId="4" fontId="15" fillId="0" borderId="18" xfId="1" applyNumberFormat="1" applyFont="1" applyFill="1" applyBorder="1" applyAlignment="1">
      <alignment horizontal="right" vertical="top" shrinkToFit="1"/>
    </xf>
    <xf numFmtId="4" fontId="10" fillId="0" borderId="18" xfId="1" applyNumberFormat="1" applyFont="1" applyFill="1" applyBorder="1" applyAlignment="1">
      <alignment horizontal="right" vertical="top" shrinkToFit="1"/>
    </xf>
    <xf numFmtId="49" fontId="15" fillId="2" borderId="16" xfId="0" applyNumberFormat="1" applyFont="1" applyFill="1" applyBorder="1" applyAlignment="1">
      <alignment horizontal="center" vertical="top" shrinkToFit="1"/>
    </xf>
    <xf numFmtId="0" fontId="17" fillId="0" borderId="20" xfId="0" applyFont="1" applyBorder="1" applyAlignment="1">
      <alignment horizontal="center" vertical="top"/>
    </xf>
    <xf numFmtId="49" fontId="15" fillId="2" borderId="17" xfId="0" applyNumberFormat="1" applyFont="1" applyFill="1" applyBorder="1" applyAlignment="1">
      <alignment horizontal="center" vertical="top" shrinkToFit="1"/>
    </xf>
    <xf numFmtId="49" fontId="15" fillId="2" borderId="2" xfId="0" applyNumberFormat="1" applyFont="1" applyFill="1" applyBorder="1" applyAlignment="1">
      <alignment horizontal="center" vertical="top" shrinkToFit="1"/>
    </xf>
    <xf numFmtId="4" fontId="17" fillId="0" borderId="2" xfId="1" applyNumberFormat="1" applyFont="1" applyFill="1" applyBorder="1" applyAlignment="1">
      <alignment vertical="top"/>
    </xf>
    <xf numFmtId="49" fontId="10" fillId="2" borderId="7" xfId="0" applyNumberFormat="1" applyFont="1" applyFill="1" applyBorder="1" applyAlignment="1">
      <alignment horizontal="center" vertical="top" shrinkToFit="1"/>
    </xf>
    <xf numFmtId="49" fontId="11" fillId="2" borderId="7" xfId="0" applyNumberFormat="1" applyFont="1" applyFill="1" applyBorder="1" applyAlignment="1">
      <alignment horizontal="center" vertical="top" shrinkToFit="1"/>
    </xf>
    <xf numFmtId="4" fontId="10" fillId="0" borderId="7" xfId="1" applyNumberFormat="1" applyFont="1" applyFill="1" applyBorder="1" applyAlignment="1">
      <alignment horizontal="right" vertical="top" shrinkToFit="1"/>
    </xf>
    <xf numFmtId="49" fontId="17" fillId="0" borderId="4" xfId="0" applyNumberFormat="1" applyFont="1" applyFill="1" applyBorder="1" applyAlignment="1">
      <alignment horizontal="center" vertical="top" shrinkToFit="1"/>
    </xf>
    <xf numFmtId="49" fontId="17" fillId="0" borderId="6" xfId="0" applyNumberFormat="1" applyFont="1" applyFill="1" applyBorder="1" applyAlignment="1">
      <alignment horizontal="center" vertical="top" shrinkToFit="1"/>
    </xf>
    <xf numFmtId="49" fontId="17" fillId="0" borderId="7" xfId="0" applyNumberFormat="1" applyFont="1" applyFill="1" applyBorder="1" applyAlignment="1">
      <alignment horizontal="center" vertical="top" wrapText="1"/>
    </xf>
    <xf numFmtId="0" fontId="24" fillId="2" borderId="1" xfId="1" applyFont="1" applyBorder="1" applyAlignment="1">
      <alignment vertical="top" wrapText="1"/>
    </xf>
    <xf numFmtId="0" fontId="24" fillId="0" borderId="4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top" wrapText="1"/>
    </xf>
    <xf numFmtId="4" fontId="16" fillId="2" borderId="2" xfId="1" applyNumberFormat="1" applyFont="1" applyFill="1" applyBorder="1" applyAlignment="1">
      <alignment horizontal="right" vertical="top" wrapText="1"/>
    </xf>
    <xf numFmtId="0" fontId="17" fillId="2" borderId="7" xfId="1" applyFont="1" applyFill="1" applyBorder="1" applyAlignment="1">
      <alignment vertical="top" wrapText="1"/>
    </xf>
    <xf numFmtId="0" fontId="25" fillId="0" borderId="0" xfId="3"/>
    <xf numFmtId="4" fontId="15" fillId="12" borderId="1" xfId="1" applyNumberFormat="1" applyFont="1" applyFill="1" applyBorder="1" applyAlignment="1">
      <alignment horizontal="right" vertical="top" shrinkToFit="1"/>
    </xf>
    <xf numFmtId="49" fontId="15" fillId="0" borderId="4" xfId="0" applyNumberFormat="1" applyFont="1" applyFill="1" applyBorder="1" applyAlignment="1">
      <alignment horizontal="center" vertical="top" shrinkToFit="1"/>
    </xf>
    <xf numFmtId="49" fontId="15" fillId="0" borderId="6" xfId="0" applyNumberFormat="1" applyFont="1" applyFill="1" applyBorder="1" applyAlignment="1">
      <alignment horizontal="center" vertical="top" shrinkToFit="1"/>
    </xf>
    <xf numFmtId="0" fontId="17" fillId="0" borderId="7" xfId="0" applyFont="1" applyFill="1" applyBorder="1" applyAlignment="1">
      <alignment horizontal="center" vertical="top"/>
    </xf>
    <xf numFmtId="4" fontId="2" fillId="0" borderId="1" xfId="1" applyNumberFormat="1" applyFill="1" applyBorder="1" applyAlignment="1">
      <alignment horizontal="right" vertical="top"/>
    </xf>
    <xf numFmtId="0" fontId="0" fillId="0" borderId="7" xfId="0" applyFill="1" applyBorder="1" applyAlignment="1">
      <alignment horizontal="center" vertical="top"/>
    </xf>
    <xf numFmtId="0" fontId="15" fillId="0" borderId="3" xfId="1" applyFont="1" applyFill="1" applyBorder="1" applyAlignment="1">
      <alignment vertical="top" wrapText="1"/>
    </xf>
    <xf numFmtId="0" fontId="11" fillId="0" borderId="1" xfId="1" applyFont="1" applyFill="1" applyBorder="1" applyAlignment="1">
      <alignment vertical="top" wrapText="1"/>
    </xf>
    <xf numFmtId="4" fontId="1" fillId="0" borderId="1" xfId="1" applyNumberFormat="1" applyFont="1" applyFill="1" applyBorder="1" applyAlignment="1">
      <alignment vertical="top"/>
    </xf>
    <xf numFmtId="4" fontId="27" fillId="0" borderId="1" xfId="1" applyNumberFormat="1" applyFont="1" applyFill="1" applyBorder="1" applyAlignment="1">
      <alignment vertical="top"/>
    </xf>
    <xf numFmtId="0" fontId="10" fillId="2" borderId="7" xfId="1" applyFont="1" applyFill="1" applyBorder="1" applyAlignment="1">
      <alignment vertical="top" wrapText="1"/>
    </xf>
    <xf numFmtId="0" fontId="16" fillId="2" borderId="1" xfId="1" applyFont="1" applyFill="1" applyBorder="1" applyAlignment="1">
      <alignment vertical="top" wrapText="1"/>
    </xf>
    <xf numFmtId="0" fontId="16" fillId="2" borderId="2" xfId="1" applyFont="1" applyFill="1" applyBorder="1" applyAlignment="1">
      <alignment vertical="top" wrapText="1"/>
    </xf>
    <xf numFmtId="0" fontId="28" fillId="0" borderId="0" xfId="3" applyFont="1"/>
    <xf numFmtId="0" fontId="28" fillId="0" borderId="7" xfId="3" applyFont="1" applyBorder="1"/>
    <xf numFmtId="0" fontId="28" fillId="0" borderId="7" xfId="3" applyFont="1" applyBorder="1" applyAlignment="1">
      <alignment horizontal="center" vertical="top" wrapText="1"/>
    </xf>
    <xf numFmtId="0" fontId="28" fillId="0" borderId="7" xfId="3" applyFont="1" applyBorder="1" applyAlignment="1">
      <alignment horizontal="left"/>
    </xf>
    <xf numFmtId="3" fontId="23" fillId="0" borderId="7" xfId="3" applyNumberFormat="1" applyFont="1" applyBorder="1"/>
    <xf numFmtId="3" fontId="23" fillId="0" borderId="7" xfId="3" applyNumberFormat="1" applyFont="1" applyBorder="1" applyAlignment="1">
      <alignment wrapText="1"/>
    </xf>
    <xf numFmtId="0" fontId="10" fillId="2" borderId="0" xfId="1" applyFont="1" applyFill="1" applyBorder="1" applyAlignment="1">
      <alignment vertical="top" wrapText="1"/>
    </xf>
    <xf numFmtId="49" fontId="15" fillId="2" borderId="5" xfId="0" applyNumberFormat="1" applyFont="1" applyFill="1" applyBorder="1" applyAlignment="1">
      <alignment horizontal="center" vertical="top" shrinkToFi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" fontId="27" fillId="0" borderId="18" xfId="1" applyNumberFormat="1" applyFont="1" applyFill="1" applyBorder="1" applyAlignment="1">
      <alignment horizontal="right" vertical="top" shrinkToFit="1"/>
    </xf>
    <xf numFmtId="49" fontId="15" fillId="0" borderId="2" xfId="0" applyNumberFormat="1" applyFont="1" applyFill="1" applyBorder="1" applyAlignment="1">
      <alignment horizontal="center" vertical="top" wrapText="1"/>
    </xf>
    <xf numFmtId="0" fontId="15" fillId="0" borderId="7" xfId="1" applyFont="1" applyFill="1" applyBorder="1" applyAlignment="1">
      <alignment vertical="top" wrapText="1"/>
    </xf>
    <xf numFmtId="3" fontId="28" fillId="5" borderId="7" xfId="3" applyNumberFormat="1" applyFont="1" applyFill="1" applyBorder="1" applyAlignment="1">
      <alignment horizontal="right"/>
    </xf>
    <xf numFmtId="3" fontId="28" fillId="5" borderId="7" xfId="3" applyNumberFormat="1" applyFont="1" applyFill="1" applyBorder="1"/>
    <xf numFmtId="3" fontId="28" fillId="5" borderId="7" xfId="3" applyNumberFormat="1" applyFont="1" applyFill="1" applyBorder="1" applyAlignment="1">
      <alignment wrapText="1"/>
    </xf>
    <xf numFmtId="164" fontId="28" fillId="5" borderId="7" xfId="3" applyNumberFormat="1" applyFont="1" applyFill="1" applyBorder="1"/>
    <xf numFmtId="4" fontId="2" fillId="13" borderId="1" xfId="1" applyNumberFormat="1" applyFill="1" applyBorder="1" applyAlignment="1">
      <alignment horizontal="right" vertical="top"/>
    </xf>
    <xf numFmtId="4" fontId="17" fillId="5" borderId="1" xfId="1" applyNumberFormat="1" applyFont="1" applyFill="1" applyBorder="1" applyAlignment="1">
      <alignment vertical="top"/>
    </xf>
    <xf numFmtId="0" fontId="0" fillId="5" borderId="7" xfId="0" applyFill="1" applyBorder="1" applyAlignment="1">
      <alignment horizontal="center" vertical="top"/>
    </xf>
    <xf numFmtId="0" fontId="15" fillId="2" borderId="4" xfId="1" applyFont="1" applyFill="1" applyBorder="1" applyAlignment="1">
      <alignment vertical="top" wrapText="1"/>
    </xf>
    <xf numFmtId="49" fontId="15" fillId="2" borderId="22" xfId="0" applyNumberFormat="1" applyFont="1" applyFill="1" applyBorder="1" applyAlignment="1">
      <alignment horizontal="center" vertical="top" shrinkToFit="1"/>
    </xf>
    <xf numFmtId="49" fontId="15" fillId="2" borderId="18" xfId="0" applyNumberFormat="1" applyFont="1" applyFill="1" applyBorder="1" applyAlignment="1">
      <alignment horizontal="center" vertical="top" shrinkToFit="1"/>
    </xf>
    <xf numFmtId="49" fontId="17" fillId="0" borderId="2" xfId="0" applyNumberFormat="1" applyFont="1" applyFill="1" applyBorder="1" applyAlignment="1">
      <alignment horizontal="center" vertical="top" shrinkToFit="1"/>
    </xf>
    <xf numFmtId="49" fontId="17" fillId="0" borderId="2" xfId="0" applyNumberFormat="1" applyFont="1" applyFill="1" applyBorder="1" applyAlignment="1">
      <alignment horizontal="center" vertical="top" wrapText="1"/>
    </xf>
    <xf numFmtId="0" fontId="25" fillId="0" borderId="7" xfId="3" applyBorder="1"/>
    <xf numFmtId="0" fontId="25" fillId="0" borderId="7" xfId="3" applyBorder="1" applyAlignment="1">
      <alignment horizontal="center" vertical="top" wrapText="1"/>
    </xf>
    <xf numFmtId="0" fontId="25" fillId="0" borderId="7" xfId="3" applyBorder="1" applyAlignment="1">
      <alignment horizontal="center" vertical="center" wrapText="1"/>
    </xf>
    <xf numFmtId="0" fontId="25" fillId="0" borderId="7" xfId="3" applyBorder="1" applyAlignment="1">
      <alignment wrapText="1"/>
    </xf>
    <xf numFmtId="0" fontId="25" fillId="0" borderId="7" xfId="3" applyFont="1" applyBorder="1" applyAlignment="1">
      <alignment horizontal="left" wrapText="1"/>
    </xf>
    <xf numFmtId="3" fontId="25" fillId="0" borderId="7" xfId="3" applyNumberFormat="1" applyFont="1" applyBorder="1" applyAlignment="1">
      <alignment horizontal="right"/>
    </xf>
    <xf numFmtId="3" fontId="25" fillId="0" borderId="7" xfId="3" applyNumberFormat="1" applyBorder="1"/>
    <xf numFmtId="165" fontId="25" fillId="0" borderId="7" xfId="3" applyNumberFormat="1" applyBorder="1"/>
    <xf numFmtId="3" fontId="25" fillId="0" borderId="7" xfId="3" applyNumberFormat="1" applyBorder="1" applyAlignment="1">
      <alignment wrapText="1"/>
    </xf>
    <xf numFmtId="164" fontId="25" fillId="0" borderId="7" xfId="3" applyNumberFormat="1" applyBorder="1"/>
    <xf numFmtId="3" fontId="29" fillId="0" borderId="7" xfId="3" applyNumberFormat="1" applyFont="1" applyBorder="1"/>
    <xf numFmtId="3" fontId="29" fillId="0" borderId="7" xfId="3" applyNumberFormat="1" applyFont="1" applyBorder="1" applyAlignment="1">
      <alignment wrapText="1"/>
    </xf>
    <xf numFmtId="0" fontId="29" fillId="0" borderId="9" xfId="3" applyFont="1" applyBorder="1" applyAlignment="1">
      <alignment horizontal="center"/>
    </xf>
    <xf numFmtId="0" fontId="25" fillId="0" borderId="7" xfId="3" applyFont="1" applyBorder="1" applyAlignment="1">
      <alignment horizontal="left"/>
    </xf>
    <xf numFmtId="0" fontId="29" fillId="0" borderId="9" xfId="3" applyFont="1" applyBorder="1" applyAlignment="1"/>
    <xf numFmtId="0" fontId="15" fillId="5" borderId="1" xfId="1" applyFont="1" applyFill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" fontId="2" fillId="2" borderId="2" xfId="1" applyNumberFormat="1" applyBorder="1" applyAlignment="1">
      <alignment horizontal="right" vertical="top"/>
    </xf>
    <xf numFmtId="4" fontId="2" fillId="13" borderId="2" xfId="1" applyNumberFormat="1" applyFill="1" applyBorder="1" applyAlignment="1">
      <alignment horizontal="right" vertical="top"/>
    </xf>
    <xf numFmtId="0" fontId="30" fillId="4" borderId="1" xfId="1" applyFont="1" applyFill="1" applyBorder="1" applyAlignment="1">
      <alignment vertical="top" wrapText="1"/>
    </xf>
    <xf numFmtId="0" fontId="30" fillId="0" borderId="1" xfId="0" applyFont="1" applyBorder="1" applyAlignment="1">
      <alignment vertical="top" wrapText="1"/>
    </xf>
    <xf numFmtId="0" fontId="3" fillId="2" borderId="0" xfId="1" applyFont="1" applyFill="1" applyBorder="1" applyAlignment="1">
      <alignment horizontal="center" wrapText="1"/>
    </xf>
    <xf numFmtId="0" fontId="3" fillId="2" borderId="0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4" xfId="1" applyFont="1" applyBorder="1" applyAlignment="1">
      <alignment horizontal="center" vertical="center" wrapText="1"/>
    </xf>
    <xf numFmtId="0" fontId="2" fillId="2" borderId="5" xfId="1" applyFont="1" applyBorder="1" applyAlignment="1">
      <alignment horizontal="center" vertical="center" wrapText="1"/>
    </xf>
    <xf numFmtId="0" fontId="2" fillId="2" borderId="6" xfId="1" applyFont="1" applyBorder="1" applyAlignment="1">
      <alignment horizontal="center" vertical="center" wrapText="1"/>
    </xf>
    <xf numFmtId="49" fontId="20" fillId="4" borderId="4" xfId="0" applyNumberFormat="1" applyFont="1" applyFill="1" applyBorder="1" applyAlignment="1">
      <alignment horizontal="center" vertical="top" wrapText="1"/>
    </xf>
    <xf numFmtId="49" fontId="20" fillId="4" borderId="5" xfId="0" applyNumberFormat="1" applyFont="1" applyFill="1" applyBorder="1" applyAlignment="1">
      <alignment horizontal="center" vertical="top" wrapText="1"/>
    </xf>
    <xf numFmtId="49" fontId="20" fillId="4" borderId="6" xfId="0" applyNumberFormat="1" applyFont="1" applyFill="1" applyBorder="1" applyAlignment="1">
      <alignment horizontal="center" vertical="top" wrapText="1"/>
    </xf>
    <xf numFmtId="49" fontId="20" fillId="5" borderId="14" xfId="0" applyNumberFormat="1" applyFont="1" applyFill="1" applyBorder="1" applyAlignment="1">
      <alignment horizontal="center" vertical="top"/>
    </xf>
    <xf numFmtId="49" fontId="20" fillId="5" borderId="0" xfId="0" applyNumberFormat="1" applyFont="1" applyFill="1" applyBorder="1" applyAlignment="1">
      <alignment horizontal="center" vertical="top"/>
    </xf>
    <xf numFmtId="49" fontId="20" fillId="5" borderId="15" xfId="0" applyNumberFormat="1" applyFont="1" applyFill="1" applyBorder="1" applyAlignment="1">
      <alignment horizontal="center" vertical="top"/>
    </xf>
    <xf numFmtId="49" fontId="22" fillId="4" borderId="7" xfId="0" applyNumberFormat="1" applyFont="1" applyFill="1" applyBorder="1" applyAlignment="1">
      <alignment horizontal="center" vertical="top" shrinkToFit="1"/>
    </xf>
    <xf numFmtId="49" fontId="20" fillId="4" borderId="16" xfId="0" applyNumberFormat="1" applyFont="1" applyFill="1" applyBorder="1" applyAlignment="1">
      <alignment horizontal="center" vertical="top" shrinkToFit="1"/>
    </xf>
    <xf numFmtId="49" fontId="20" fillId="4" borderId="12" xfId="0" applyNumberFormat="1" applyFont="1" applyFill="1" applyBorder="1" applyAlignment="1">
      <alignment horizontal="center" vertical="top" shrinkToFit="1"/>
    </xf>
    <xf numFmtId="49" fontId="20" fillId="4" borderId="17" xfId="0" applyNumberFormat="1" applyFont="1" applyFill="1" applyBorder="1" applyAlignment="1">
      <alignment horizontal="center" vertical="top" shrinkToFi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23" fillId="0" borderId="9" xfId="3" applyFont="1" applyBorder="1" applyAlignment="1">
      <alignment horizontal="left"/>
    </xf>
    <xf numFmtId="0" fontId="23" fillId="0" borderId="11" xfId="3" applyFont="1" applyBorder="1" applyAlignment="1">
      <alignment horizontal="left"/>
    </xf>
    <xf numFmtId="0" fontId="23" fillId="0" borderId="0" xfId="3" applyFont="1" applyAlignment="1">
      <alignment horizontal="center"/>
    </xf>
    <xf numFmtId="0" fontId="23" fillId="0" borderId="9" xfId="3" applyFont="1" applyBorder="1" applyAlignment="1">
      <alignment horizontal="center"/>
    </xf>
    <xf numFmtId="0" fontId="23" fillId="0" borderId="11" xfId="3" applyFont="1" applyBorder="1" applyAlignment="1">
      <alignment horizontal="center"/>
    </xf>
    <xf numFmtId="0" fontId="23" fillId="0" borderId="10" xfId="3" applyFont="1" applyBorder="1" applyAlignment="1">
      <alignment horizontal="center"/>
    </xf>
    <xf numFmtId="0" fontId="29" fillId="0" borderId="9" xfId="3" applyFont="1" applyBorder="1" applyAlignment="1">
      <alignment horizontal="left"/>
    </xf>
    <xf numFmtId="0" fontId="29" fillId="0" borderId="11" xfId="3" applyFont="1" applyBorder="1" applyAlignment="1">
      <alignment horizontal="left"/>
    </xf>
    <xf numFmtId="0" fontId="29" fillId="0" borderId="10" xfId="3" applyFont="1" applyBorder="1" applyAlignment="1">
      <alignment horizontal="left"/>
    </xf>
    <xf numFmtId="0" fontId="29" fillId="0" borderId="0" xfId="3" applyFont="1" applyAlignment="1">
      <alignment horizontal="center"/>
    </xf>
    <xf numFmtId="0" fontId="29" fillId="0" borderId="9" xfId="3" applyFont="1" applyBorder="1" applyAlignment="1">
      <alignment horizontal="center"/>
    </xf>
    <xf numFmtId="0" fontId="25" fillId="0" borderId="11" xfId="3" applyBorder="1" applyAlignment="1">
      <alignment horizontal="center"/>
    </xf>
    <xf numFmtId="0" fontId="25" fillId="0" borderId="10" xfId="3" applyBorder="1" applyAlignment="1">
      <alignment horizontal="center"/>
    </xf>
    <xf numFmtId="0" fontId="29" fillId="0" borderId="7" xfId="3" applyFont="1" applyBorder="1" applyAlignment="1">
      <alignment horizontal="center"/>
    </xf>
    <xf numFmtId="0" fontId="29" fillId="0" borderId="11" xfId="3" applyFont="1" applyBorder="1" applyAlignment="1">
      <alignment horizontal="center"/>
    </xf>
    <xf numFmtId="0" fontId="29" fillId="0" borderId="10" xfId="3" applyFont="1" applyBorder="1" applyAlignment="1">
      <alignment horizontal="center"/>
    </xf>
  </cellXfs>
  <cellStyles count="36">
    <cellStyle name="br" xfId="4"/>
    <cellStyle name="col" xfId="5"/>
    <cellStyle name="st16" xfId="2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64" xfId="35"/>
    <cellStyle name="Обычный" xfId="0" builtinId="0"/>
    <cellStyle name="Обычный 2" xfId="3"/>
    <cellStyle name="Обычный_Рачет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4"/>
  <sheetViews>
    <sheetView showGridLines="0" tabSelected="1" workbookViewId="0">
      <pane xSplit="2" ySplit="18" topLeftCell="C158" activePane="bottomRight" state="frozen"/>
      <selection pane="topRight" activeCell="C1" sqref="C1"/>
      <selection pane="bottomLeft" activeCell="A16" sqref="A16"/>
      <selection pane="bottomRight" activeCell="M8" sqref="M8"/>
    </sheetView>
  </sheetViews>
  <sheetFormatPr defaultRowHeight="12.75" outlineLevelRow="7"/>
  <cols>
    <col min="1" max="1" width="69.5703125" style="1" customWidth="1"/>
    <col min="2" max="2" width="5.85546875" style="1" customWidth="1"/>
    <col min="3" max="3" width="13.140625" style="1" customWidth="1"/>
    <col min="4" max="4" width="5.5703125" style="1" customWidth="1"/>
    <col min="5" max="5" width="5.28515625" style="1" customWidth="1"/>
    <col min="6" max="6" width="12.42578125" style="1" customWidth="1"/>
    <col min="7" max="7" width="11.42578125" style="1" customWidth="1"/>
    <col min="8" max="8" width="12.28515625" style="1" customWidth="1"/>
    <col min="9" max="9" width="12.5703125" style="1" customWidth="1"/>
    <col min="10" max="10" width="12.42578125" style="1" customWidth="1"/>
    <col min="11" max="11" width="12.140625" style="1" customWidth="1"/>
    <col min="12" max="13" width="12.28515625" style="1" customWidth="1"/>
    <col min="14" max="16384" width="9.140625" style="1"/>
  </cols>
  <sheetData>
    <row r="1" spans="1:13" ht="15.75" customHeight="1">
      <c r="A1" s="238" t="s">
        <v>235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</row>
    <row r="2" spans="1:13" ht="15.75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>
      <c r="A3" s="240" t="s">
        <v>0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</row>
    <row r="4" spans="1:13" ht="54.6" customHeight="1">
      <c r="A4" s="241" t="s">
        <v>1</v>
      </c>
      <c r="B4" s="242" t="s">
        <v>62</v>
      </c>
      <c r="C4" s="243"/>
      <c r="D4" s="243"/>
      <c r="E4" s="244"/>
      <c r="F4" s="241" t="s">
        <v>237</v>
      </c>
      <c r="G4" s="241" t="s">
        <v>251</v>
      </c>
      <c r="H4" s="245" t="s">
        <v>6</v>
      </c>
      <c r="I4" s="246"/>
      <c r="J4" s="247"/>
      <c r="K4" s="245" t="s">
        <v>7</v>
      </c>
      <c r="L4" s="246"/>
      <c r="M4" s="247"/>
    </row>
    <row r="5" spans="1:13" ht="25.5">
      <c r="A5" s="241"/>
      <c r="B5" s="12" t="s">
        <v>2</v>
      </c>
      <c r="C5" s="12" t="s">
        <v>3</v>
      </c>
      <c r="D5" s="12" t="s">
        <v>4</v>
      </c>
      <c r="E5" s="12" t="s">
        <v>5</v>
      </c>
      <c r="F5" s="241"/>
      <c r="G5" s="241"/>
      <c r="H5" s="2" t="s">
        <v>165</v>
      </c>
      <c r="I5" s="2" t="s">
        <v>203</v>
      </c>
      <c r="J5" s="2" t="s">
        <v>236</v>
      </c>
      <c r="K5" s="2" t="s">
        <v>165</v>
      </c>
      <c r="L5" s="2" t="s">
        <v>203</v>
      </c>
      <c r="M5" s="2" t="s">
        <v>236</v>
      </c>
    </row>
    <row r="6" spans="1:13" ht="15">
      <c r="A6" s="14" t="s">
        <v>8</v>
      </c>
      <c r="B6" s="258"/>
      <c r="C6" s="259"/>
      <c r="D6" s="259"/>
      <c r="E6" s="260"/>
      <c r="F6" s="57">
        <f>F8-F15</f>
        <v>24571.38000000082</v>
      </c>
      <c r="G6" s="57">
        <f>G8-G15</f>
        <v>306397.91000000015</v>
      </c>
      <c r="H6" s="57">
        <f t="shared" ref="H6:M6" si="0">H8-H15</f>
        <v>-1528444</v>
      </c>
      <c r="I6" s="57">
        <f t="shared" si="0"/>
        <v>-734434</v>
      </c>
      <c r="J6" s="57">
        <f t="shared" si="0"/>
        <v>-952174</v>
      </c>
      <c r="K6" s="57">
        <f>K8-K15</f>
        <v>0</v>
      </c>
      <c r="L6" s="57">
        <f t="shared" si="0"/>
        <v>0</v>
      </c>
      <c r="M6" s="57">
        <f t="shared" si="0"/>
        <v>0</v>
      </c>
    </row>
    <row r="7" spans="1:13" ht="15">
      <c r="A7" s="236" t="s">
        <v>285</v>
      </c>
      <c r="B7" s="231"/>
      <c r="C7" s="232"/>
      <c r="D7" s="232"/>
      <c r="E7" s="233"/>
      <c r="F7" s="57"/>
      <c r="G7" s="57"/>
      <c r="H7" s="57">
        <f>H14-H18</f>
        <v>-1528444</v>
      </c>
      <c r="I7" s="57">
        <f t="shared" ref="I7:M7" si="1">I14-I18</f>
        <v>-734434</v>
      </c>
      <c r="J7" s="57">
        <f t="shared" si="1"/>
        <v>-952174</v>
      </c>
      <c r="K7" s="57">
        <f t="shared" si="1"/>
        <v>0</v>
      </c>
      <c r="L7" s="57">
        <f>L14-L18-70600</f>
        <v>0</v>
      </c>
      <c r="M7" s="57">
        <f>M14-M18-141100</f>
        <v>0</v>
      </c>
    </row>
    <row r="8" spans="1:13" ht="15">
      <c r="A8" s="14" t="s">
        <v>93</v>
      </c>
      <c r="B8" s="258"/>
      <c r="C8" s="259"/>
      <c r="D8" s="259"/>
      <c r="E8" s="260"/>
      <c r="F8" s="57">
        <f t="shared" ref="F8" si="2">F9+F13+F11+F12+F10</f>
        <v>4705264.41</v>
      </c>
      <c r="G8" s="57">
        <f t="shared" ref="G8:M8" si="3">G9+G13+G11+G12+G10</f>
        <v>2394673.6800000002</v>
      </c>
      <c r="H8" s="57">
        <f t="shared" si="3"/>
        <v>5708200</v>
      </c>
      <c r="I8" s="57">
        <f t="shared" si="3"/>
        <v>6979931</v>
      </c>
      <c r="J8" s="57">
        <f t="shared" si="3"/>
        <v>5177858</v>
      </c>
      <c r="K8" s="57">
        <f t="shared" si="3"/>
        <v>4101554</v>
      </c>
      <c r="L8" s="57">
        <f t="shared" si="3"/>
        <v>4010306</v>
      </c>
      <c r="M8" s="57">
        <f t="shared" si="3"/>
        <v>4023405</v>
      </c>
    </row>
    <row r="9" spans="1:13" ht="25.5">
      <c r="A9" s="15" t="s">
        <v>284</v>
      </c>
      <c r="B9" s="258"/>
      <c r="C9" s="259"/>
      <c r="D9" s="259"/>
      <c r="E9" s="260"/>
      <c r="F9" s="180">
        <f>1089194+F183+F188+F193</f>
        <v>1089194</v>
      </c>
      <c r="G9" s="180">
        <f>544655+G183+G188+G193</f>
        <v>544655</v>
      </c>
      <c r="H9" s="180">
        <f>1040209+H183+H188+H193+H200+H205</f>
        <v>1081044</v>
      </c>
      <c r="I9" s="180">
        <f>1047851+I183+I188+I193+I200+I205</f>
        <v>1077423</v>
      </c>
      <c r="J9" s="180">
        <f>1049750+J183+J188+J193+J200+J205</f>
        <v>1061970</v>
      </c>
      <c r="K9" s="180">
        <f>1040209+K183+K188+K193+K200+K205</f>
        <v>1070199</v>
      </c>
      <c r="L9" s="180">
        <f>1047851+L183+L188+L193+L200+L205</f>
        <v>1047851</v>
      </c>
      <c r="M9" s="180">
        <f>1049750+M183+M188+M193+M200+M205</f>
        <v>1049750</v>
      </c>
    </row>
    <row r="10" spans="1:13" ht="15">
      <c r="A10" s="15" t="s">
        <v>94</v>
      </c>
      <c r="B10" s="197"/>
      <c r="C10" s="198"/>
      <c r="D10" s="198"/>
      <c r="E10" s="199"/>
      <c r="F10" s="58">
        <f>F80+F180+F185+F190+F196+F202</f>
        <v>693089</v>
      </c>
      <c r="G10" s="98">
        <v>0</v>
      </c>
      <c r="H10" s="58">
        <f>H80+H180+H185+H190+H196+H202</f>
        <v>1298948</v>
      </c>
      <c r="I10" s="58">
        <f t="shared" ref="I10:M10" si="4">I80+I180+I185+I190+I196+I202</f>
        <v>2070053</v>
      </c>
      <c r="J10" s="58">
        <f t="shared" si="4"/>
        <v>855432</v>
      </c>
      <c r="K10" s="58">
        <f t="shared" si="4"/>
        <v>0</v>
      </c>
      <c r="L10" s="58">
        <f t="shared" si="4"/>
        <v>0</v>
      </c>
      <c r="M10" s="58">
        <f t="shared" si="4"/>
        <v>0</v>
      </c>
    </row>
    <row r="11" spans="1:13" ht="15">
      <c r="A11" s="15" t="s">
        <v>95</v>
      </c>
      <c r="B11" s="197"/>
      <c r="C11" s="198"/>
      <c r="D11" s="198"/>
      <c r="E11" s="199"/>
      <c r="F11" s="58">
        <f>F207</f>
        <v>31600</v>
      </c>
      <c r="G11" s="98">
        <v>20800</v>
      </c>
      <c r="H11" s="58">
        <f>H207</f>
        <v>31400</v>
      </c>
      <c r="I11" s="58">
        <f t="shared" ref="I11:J11" si="5">I207</f>
        <v>32500</v>
      </c>
      <c r="J11" s="58">
        <f t="shared" si="5"/>
        <v>33700</v>
      </c>
      <c r="K11" s="58">
        <f>K207</f>
        <v>31400</v>
      </c>
      <c r="L11" s="58">
        <f t="shared" ref="L11:M11" si="6">L207</f>
        <v>32500</v>
      </c>
      <c r="M11" s="58">
        <f t="shared" si="6"/>
        <v>33700</v>
      </c>
    </row>
    <row r="12" spans="1:13" ht="15">
      <c r="A12" s="16" t="s">
        <v>9</v>
      </c>
      <c r="B12" s="258"/>
      <c r="C12" s="259"/>
      <c r="D12" s="259"/>
      <c r="E12" s="260"/>
      <c r="F12" s="59">
        <f>F93+F96+F103+F110+F147+F182+F187+F192+F199+F204</f>
        <v>1120378.4100000001</v>
      </c>
      <c r="G12" s="59">
        <f t="shared" ref="G12" si="7">G93+G96+G103+G110+G147+G182+G187+G192+G199+G204</f>
        <v>500966.68</v>
      </c>
      <c r="H12" s="59">
        <f>H93+H96+H103+H110+H147+H182+H187+H192+H199+H204</f>
        <v>1525805</v>
      </c>
      <c r="I12" s="59">
        <f t="shared" ref="I12:M12" si="8">I93+I96+I103+I110+I147+I182+I187+I192+I199+I204</f>
        <v>2028952</v>
      </c>
      <c r="J12" s="59">
        <f t="shared" si="8"/>
        <v>1455753</v>
      </c>
      <c r="K12" s="59">
        <f t="shared" si="8"/>
        <v>1228360</v>
      </c>
      <c r="L12" s="59">
        <f t="shared" si="8"/>
        <v>1158360</v>
      </c>
      <c r="M12" s="59">
        <f t="shared" si="8"/>
        <v>1168360</v>
      </c>
    </row>
    <row r="13" spans="1:13" ht="15">
      <c r="A13" s="16" t="s">
        <v>10</v>
      </c>
      <c r="B13" s="258"/>
      <c r="C13" s="259"/>
      <c r="D13" s="259"/>
      <c r="E13" s="260"/>
      <c r="F13" s="58">
        <v>1771003</v>
      </c>
      <c r="G13" s="98">
        <v>1328252</v>
      </c>
      <c r="H13" s="207">
        <v>1771003</v>
      </c>
      <c r="I13" s="207">
        <v>1771003</v>
      </c>
      <c r="J13" s="207">
        <v>1771003</v>
      </c>
      <c r="K13" s="207">
        <v>1771595</v>
      </c>
      <c r="L13" s="207">
        <v>1771595</v>
      </c>
      <c r="M13" s="207">
        <v>1771595</v>
      </c>
    </row>
    <row r="14" spans="1:13" ht="15">
      <c r="A14" s="237" t="s">
        <v>286</v>
      </c>
      <c r="B14" s="231"/>
      <c r="C14" s="232"/>
      <c r="D14" s="232"/>
      <c r="E14" s="233"/>
      <c r="F14" s="234"/>
      <c r="G14" s="98"/>
      <c r="H14" s="235">
        <f>H9+H13</f>
        <v>2852047</v>
      </c>
      <c r="I14" s="235">
        <f t="shared" ref="I14:M14" si="9">I9+I13</f>
        <v>2848426</v>
      </c>
      <c r="J14" s="235">
        <f t="shared" si="9"/>
        <v>2832973</v>
      </c>
      <c r="K14" s="235">
        <f t="shared" si="9"/>
        <v>2841794</v>
      </c>
      <c r="L14" s="235">
        <f t="shared" si="9"/>
        <v>2819446</v>
      </c>
      <c r="M14" s="235">
        <f t="shared" si="9"/>
        <v>2821345</v>
      </c>
    </row>
    <row r="15" spans="1:13" ht="15">
      <c r="A15" s="14" t="s">
        <v>11</v>
      </c>
      <c r="B15" s="258"/>
      <c r="C15" s="259"/>
      <c r="D15" s="259"/>
      <c r="E15" s="260"/>
      <c r="F15" s="60">
        <f t="shared" ref="F15:M15" si="10">F19+F97+F99+F109+F206</f>
        <v>4680693.0299999993</v>
      </c>
      <c r="G15" s="60">
        <f t="shared" si="10"/>
        <v>2088275.77</v>
      </c>
      <c r="H15" s="60">
        <f t="shared" si="10"/>
        <v>7236644</v>
      </c>
      <c r="I15" s="60">
        <f t="shared" si="10"/>
        <v>7714365</v>
      </c>
      <c r="J15" s="60">
        <f t="shared" si="10"/>
        <v>6130032</v>
      </c>
      <c r="K15" s="60">
        <f t="shared" si="10"/>
        <v>4101554</v>
      </c>
      <c r="L15" s="60">
        <f>L19+L97+L99+L109+L206+70600</f>
        <v>4010306</v>
      </c>
      <c r="M15" s="60">
        <f>M19+M97+M99+M109+M206+141100</f>
        <v>4023405</v>
      </c>
    </row>
    <row r="16" spans="1:13" ht="14.25">
      <c r="A16" s="169" t="s">
        <v>183</v>
      </c>
      <c r="B16" s="170"/>
      <c r="C16" s="171"/>
      <c r="D16" s="171"/>
      <c r="E16" s="172"/>
      <c r="F16" s="173"/>
      <c r="G16" s="173"/>
      <c r="H16" s="173"/>
      <c r="I16" s="173"/>
      <c r="J16" s="173"/>
      <c r="K16" s="173"/>
      <c r="L16" s="173">
        <f>(L15-L10-L11-L12)*2.5%+113.85</f>
        <v>70600.000000000015</v>
      </c>
      <c r="M16" s="173">
        <f>(M15-M10-M11-M12)*5%+32.75</f>
        <v>141100</v>
      </c>
    </row>
    <row r="17" spans="1:13" ht="14.25">
      <c r="A17" s="169" t="s">
        <v>184</v>
      </c>
      <c r="B17" s="170"/>
      <c r="C17" s="171"/>
      <c r="D17" s="171"/>
      <c r="E17" s="172"/>
      <c r="F17" s="173"/>
      <c r="G17" s="173"/>
      <c r="H17" s="173"/>
      <c r="I17" s="173"/>
      <c r="J17" s="173"/>
      <c r="K17" s="173"/>
      <c r="L17" s="173">
        <f>L15-L16</f>
        <v>3939706</v>
      </c>
      <c r="M17" s="173">
        <f>M15-M16</f>
        <v>3882305</v>
      </c>
    </row>
    <row r="18" spans="1:13" ht="15">
      <c r="A18" s="128" t="s">
        <v>80</v>
      </c>
      <c r="B18" s="129"/>
      <c r="C18" s="130"/>
      <c r="D18" s="130"/>
      <c r="E18" s="131"/>
      <c r="F18" s="132">
        <f t="shared" ref="F18:G18" si="11">F19+F97+F99+F109-F80-F93-F96-F103-F110-F147-F180-F182-F185-F187-F190-F192-F196-F199-F202-F204</f>
        <v>2835625.6199999992</v>
      </c>
      <c r="G18" s="132">
        <f t="shared" si="11"/>
        <v>1566509.09</v>
      </c>
      <c r="H18" s="132">
        <f>H19+H97+H99+H109-H80-H93-H96-H103-H110-H147-H180-H182-H185-H187-H190-H192-H196-H199-H202-H204</f>
        <v>4380491</v>
      </c>
      <c r="I18" s="132">
        <f t="shared" ref="I18:M18" si="12">I19+I97+I99+I109-I80-I93-I96-I103-I110-I147-I180-I182-I185-I187-I190-I192-I196-I199-I202-I204</f>
        <v>3582860</v>
      </c>
      <c r="J18" s="132">
        <f t="shared" si="12"/>
        <v>3785147</v>
      </c>
      <c r="K18" s="132">
        <f t="shared" si="12"/>
        <v>2841794</v>
      </c>
      <c r="L18" s="132">
        <f t="shared" si="12"/>
        <v>2748846</v>
      </c>
      <c r="M18" s="132">
        <f t="shared" si="12"/>
        <v>2680245</v>
      </c>
    </row>
    <row r="19" spans="1:13" ht="27.75" customHeight="1">
      <c r="A19" s="89" t="s">
        <v>122</v>
      </c>
      <c r="B19" s="248" t="s">
        <v>153</v>
      </c>
      <c r="C19" s="249"/>
      <c r="D19" s="249"/>
      <c r="E19" s="250"/>
      <c r="F19" s="88">
        <f t="shared" ref="F19:M19" si="13">F20+F24+F27+F65+F74+F77+F82+F85+F86+F87+F90+F93+F96</f>
        <v>1998420.55</v>
      </c>
      <c r="G19" s="88">
        <f t="shared" si="13"/>
        <v>1070100.8599999999</v>
      </c>
      <c r="H19" s="88">
        <f t="shared" si="13"/>
        <v>2332387</v>
      </c>
      <c r="I19" s="88">
        <f t="shared" si="13"/>
        <v>2172509</v>
      </c>
      <c r="J19" s="88">
        <f t="shared" si="13"/>
        <v>2191148</v>
      </c>
      <c r="K19" s="88">
        <f t="shared" si="13"/>
        <v>2094865</v>
      </c>
      <c r="L19" s="88">
        <f t="shared" si="13"/>
        <v>2089412</v>
      </c>
      <c r="M19" s="88">
        <f t="shared" si="13"/>
        <v>2108051</v>
      </c>
    </row>
    <row r="20" spans="1:13" outlineLevel="4">
      <c r="A20" s="3" t="s">
        <v>71</v>
      </c>
      <c r="B20" s="17" t="s">
        <v>12</v>
      </c>
      <c r="C20" s="18"/>
      <c r="D20" s="17"/>
      <c r="E20" s="17"/>
      <c r="F20" s="61">
        <f t="shared" ref="F20" si="14">SUM(F21:F23)</f>
        <v>0</v>
      </c>
      <c r="G20" s="61">
        <f t="shared" ref="G20:M20" si="15">SUM(G21:G23)</f>
        <v>0</v>
      </c>
      <c r="H20" s="61">
        <f t="shared" si="15"/>
        <v>0</v>
      </c>
      <c r="I20" s="61">
        <f t="shared" si="15"/>
        <v>0</v>
      </c>
      <c r="J20" s="61">
        <f t="shared" si="15"/>
        <v>0</v>
      </c>
      <c r="K20" s="61">
        <f t="shared" si="15"/>
        <v>0</v>
      </c>
      <c r="L20" s="61">
        <f t="shared" si="15"/>
        <v>0</v>
      </c>
      <c r="M20" s="61">
        <f t="shared" si="15"/>
        <v>0</v>
      </c>
    </row>
    <row r="21" spans="1:13" ht="13.5" customHeight="1" outlineLevel="7">
      <c r="A21" s="4" t="s">
        <v>14</v>
      </c>
      <c r="B21" s="19" t="s">
        <v>12</v>
      </c>
      <c r="C21" s="20" t="s">
        <v>96</v>
      </c>
      <c r="D21" s="19" t="s">
        <v>15</v>
      </c>
      <c r="E21" s="19" t="s">
        <v>54</v>
      </c>
      <c r="F21" s="63"/>
      <c r="G21" s="64"/>
      <c r="H21" s="63"/>
      <c r="I21" s="62"/>
      <c r="J21" s="62"/>
      <c r="K21" s="63"/>
      <c r="L21" s="62"/>
      <c r="M21" s="62"/>
    </row>
    <row r="22" spans="1:13" ht="12.75" customHeight="1" outlineLevel="7">
      <c r="A22" s="4" t="s">
        <v>97</v>
      </c>
      <c r="B22" s="19" t="s">
        <v>12</v>
      </c>
      <c r="C22" s="20" t="s">
        <v>98</v>
      </c>
      <c r="D22" s="19" t="s">
        <v>21</v>
      </c>
      <c r="E22" s="19" t="s">
        <v>54</v>
      </c>
      <c r="F22" s="63"/>
      <c r="G22" s="64"/>
      <c r="H22" s="63"/>
      <c r="I22" s="62"/>
      <c r="J22" s="62"/>
      <c r="K22" s="63"/>
      <c r="L22" s="62"/>
      <c r="M22" s="62"/>
    </row>
    <row r="23" spans="1:13" ht="14.25" customHeight="1" outlineLevel="7">
      <c r="A23" s="4" t="s">
        <v>16</v>
      </c>
      <c r="B23" s="19" t="s">
        <v>12</v>
      </c>
      <c r="C23" s="20" t="s">
        <v>98</v>
      </c>
      <c r="D23" s="19" t="s">
        <v>22</v>
      </c>
      <c r="E23" s="19" t="s">
        <v>54</v>
      </c>
      <c r="F23" s="63"/>
      <c r="G23" s="64"/>
      <c r="H23" s="63"/>
      <c r="I23" s="62"/>
      <c r="J23" s="62"/>
      <c r="K23" s="63"/>
      <c r="L23" s="62"/>
      <c r="M23" s="62"/>
    </row>
    <row r="24" spans="1:13" outlineLevel="4">
      <c r="A24" s="3" t="s">
        <v>100</v>
      </c>
      <c r="B24" s="17" t="s">
        <v>17</v>
      </c>
      <c r="C24" s="21" t="s">
        <v>99</v>
      </c>
      <c r="D24" s="17" t="s">
        <v>13</v>
      </c>
      <c r="E24" s="19"/>
      <c r="F24" s="61">
        <f t="shared" ref="F24" si="16">SUM(F25:F26)</f>
        <v>521387</v>
      </c>
      <c r="G24" s="61">
        <f>SUM(G25:G26)</f>
        <v>318889.39</v>
      </c>
      <c r="H24" s="61">
        <f t="shared" ref="H24:M24" si="17">SUM(H25:H26)</f>
        <v>526602</v>
      </c>
      <c r="I24" s="61">
        <f t="shared" si="17"/>
        <v>547665</v>
      </c>
      <c r="J24" s="61">
        <f t="shared" si="17"/>
        <v>569620</v>
      </c>
      <c r="K24" s="61">
        <f t="shared" si="17"/>
        <v>526602</v>
      </c>
      <c r="L24" s="61">
        <f t="shared" si="17"/>
        <v>547665</v>
      </c>
      <c r="M24" s="61">
        <f t="shared" si="17"/>
        <v>569620</v>
      </c>
    </row>
    <row r="25" spans="1:13" outlineLevel="7">
      <c r="A25" s="4" t="s">
        <v>170</v>
      </c>
      <c r="B25" s="19" t="s">
        <v>17</v>
      </c>
      <c r="C25" s="83" t="s">
        <v>99</v>
      </c>
      <c r="D25" s="19" t="s">
        <v>18</v>
      </c>
      <c r="E25" s="19" t="s">
        <v>54</v>
      </c>
      <c r="F25" s="62">
        <v>400451</v>
      </c>
      <c r="G25" s="64">
        <v>247526</v>
      </c>
      <c r="H25" s="62">
        <v>404456</v>
      </c>
      <c r="I25" s="62">
        <v>420634</v>
      </c>
      <c r="J25" s="62">
        <v>437496</v>
      </c>
      <c r="K25" s="62">
        <v>404456</v>
      </c>
      <c r="L25" s="62">
        <v>420634</v>
      </c>
      <c r="M25" s="62">
        <v>437496</v>
      </c>
    </row>
    <row r="26" spans="1:13" outlineLevel="7">
      <c r="A26" s="4" t="s">
        <v>76</v>
      </c>
      <c r="B26" s="19" t="s">
        <v>17</v>
      </c>
      <c r="C26" s="83" t="s">
        <v>99</v>
      </c>
      <c r="D26" s="19" t="s">
        <v>55</v>
      </c>
      <c r="E26" s="19" t="s">
        <v>54</v>
      </c>
      <c r="F26" s="64">
        <v>120936</v>
      </c>
      <c r="G26" s="64">
        <v>71363.39</v>
      </c>
      <c r="H26" s="64">
        <v>122146</v>
      </c>
      <c r="I26" s="64">
        <v>127031</v>
      </c>
      <c r="J26" s="64">
        <v>132124</v>
      </c>
      <c r="K26" s="64">
        <v>122146</v>
      </c>
      <c r="L26" s="64">
        <v>127031</v>
      </c>
      <c r="M26" s="64">
        <v>132124</v>
      </c>
    </row>
    <row r="27" spans="1:13" ht="25.5" outlineLevel="4">
      <c r="A27" s="3" t="s">
        <v>102</v>
      </c>
      <c r="B27" s="17" t="s">
        <v>17</v>
      </c>
      <c r="C27" s="21" t="s">
        <v>101</v>
      </c>
      <c r="D27" s="17" t="s">
        <v>13</v>
      </c>
      <c r="E27" s="17"/>
      <c r="F27" s="61">
        <f t="shared" ref="F27:M27" si="18">F28+F29+F30+F33+F39+F58+F59+F60</f>
        <v>765904.14</v>
      </c>
      <c r="G27" s="61">
        <f t="shared" si="18"/>
        <v>418789.59</v>
      </c>
      <c r="H27" s="61">
        <f t="shared" si="18"/>
        <v>800604</v>
      </c>
      <c r="I27" s="61">
        <f t="shared" si="18"/>
        <v>746586</v>
      </c>
      <c r="J27" s="61">
        <f t="shared" si="18"/>
        <v>733560</v>
      </c>
      <c r="K27" s="61">
        <f t="shared" si="18"/>
        <v>732982</v>
      </c>
      <c r="L27" s="61">
        <f t="shared" si="18"/>
        <v>720489</v>
      </c>
      <c r="M27" s="61">
        <f t="shared" si="18"/>
        <v>707463</v>
      </c>
    </row>
    <row r="28" spans="1:13" outlineLevel="7">
      <c r="A28" s="78" t="s">
        <v>181</v>
      </c>
      <c r="B28" s="79" t="s">
        <v>17</v>
      </c>
      <c r="C28" s="83" t="s">
        <v>101</v>
      </c>
      <c r="D28" s="79" t="s">
        <v>18</v>
      </c>
      <c r="E28" s="79" t="s">
        <v>54</v>
      </c>
      <c r="F28" s="64">
        <v>352372</v>
      </c>
      <c r="G28" s="64">
        <v>240583.69</v>
      </c>
      <c r="H28" s="64">
        <v>355931</v>
      </c>
      <c r="I28" s="64">
        <v>370203</v>
      </c>
      <c r="J28" s="64">
        <v>385083</v>
      </c>
      <c r="K28" s="64">
        <v>355931</v>
      </c>
      <c r="L28" s="64">
        <v>370203</v>
      </c>
      <c r="M28" s="64">
        <v>385083</v>
      </c>
    </row>
    <row r="29" spans="1:13" outlineLevel="7">
      <c r="A29" s="4" t="s">
        <v>53</v>
      </c>
      <c r="B29" s="19" t="s">
        <v>17</v>
      </c>
      <c r="C29" s="83" t="s">
        <v>101</v>
      </c>
      <c r="D29" s="19" t="s">
        <v>55</v>
      </c>
      <c r="E29" s="19" t="s">
        <v>54</v>
      </c>
      <c r="F29" s="64">
        <v>106416</v>
      </c>
      <c r="G29" s="64">
        <v>76442.740000000005</v>
      </c>
      <c r="H29" s="64">
        <v>107491</v>
      </c>
      <c r="I29" s="64">
        <v>111801</v>
      </c>
      <c r="J29" s="64">
        <v>116295</v>
      </c>
      <c r="K29" s="64">
        <v>107491</v>
      </c>
      <c r="L29" s="64">
        <v>111801</v>
      </c>
      <c r="M29" s="64">
        <v>116295</v>
      </c>
    </row>
    <row r="30" spans="1:13" outlineLevel="7">
      <c r="A30" s="4"/>
      <c r="B30" s="19" t="s">
        <v>17</v>
      </c>
      <c r="C30" s="83" t="s">
        <v>101</v>
      </c>
      <c r="D30" s="19" t="s">
        <v>20</v>
      </c>
      <c r="E30" s="19" t="s">
        <v>54</v>
      </c>
      <c r="F30" s="64">
        <f t="shared" ref="F30" si="19">SUM(F31:F32)</f>
        <v>28800</v>
      </c>
      <c r="G30" s="64">
        <f t="shared" ref="G30:M30" si="20">SUM(G31:G32)</f>
        <v>12660.4</v>
      </c>
      <c r="H30" s="64">
        <f t="shared" si="20"/>
        <v>28800</v>
      </c>
      <c r="I30" s="64">
        <f t="shared" si="20"/>
        <v>28800</v>
      </c>
      <c r="J30" s="64">
        <f t="shared" si="20"/>
        <v>28800</v>
      </c>
      <c r="K30" s="64">
        <f t="shared" si="20"/>
        <v>28800</v>
      </c>
      <c r="L30" s="64">
        <f t="shared" si="20"/>
        <v>28800</v>
      </c>
      <c r="M30" s="64">
        <f t="shared" si="20"/>
        <v>28800</v>
      </c>
    </row>
    <row r="31" spans="1:13" outlineLevel="7">
      <c r="A31" s="4" t="s">
        <v>19</v>
      </c>
      <c r="B31" s="19"/>
      <c r="C31" s="22"/>
      <c r="D31" s="19"/>
      <c r="E31" s="19"/>
      <c r="F31" s="64">
        <v>28800</v>
      </c>
      <c r="G31" s="64">
        <v>12660.4</v>
      </c>
      <c r="H31" s="64">
        <v>28800</v>
      </c>
      <c r="I31" s="64">
        <v>28800</v>
      </c>
      <c r="J31" s="64">
        <v>28800</v>
      </c>
      <c r="K31" s="64">
        <v>28800</v>
      </c>
      <c r="L31" s="64">
        <v>28800</v>
      </c>
      <c r="M31" s="64">
        <v>28800</v>
      </c>
    </row>
    <row r="32" spans="1:13" outlineLevel="7">
      <c r="A32" s="4" t="s">
        <v>81</v>
      </c>
      <c r="B32" s="19"/>
      <c r="C32" s="22"/>
      <c r="D32" s="19"/>
      <c r="E32" s="19"/>
      <c r="F32" s="64"/>
      <c r="G32" s="64"/>
      <c r="H32" s="64"/>
      <c r="I32" s="64"/>
      <c r="J32" s="64"/>
      <c r="K32" s="64"/>
      <c r="L32" s="64"/>
      <c r="M32" s="64"/>
    </row>
    <row r="33" spans="1:13" ht="25.5" outlineLevel="5">
      <c r="A33" s="4" t="s">
        <v>70</v>
      </c>
      <c r="B33" s="19" t="s">
        <v>17</v>
      </c>
      <c r="C33" s="83" t="s">
        <v>101</v>
      </c>
      <c r="D33" s="19" t="s">
        <v>21</v>
      </c>
      <c r="E33" s="19" t="s">
        <v>54</v>
      </c>
      <c r="F33" s="64">
        <f t="shared" ref="F33" si="21">SUM(F34:F38)</f>
        <v>59571</v>
      </c>
      <c r="G33" s="64">
        <f>SUM(G34:G38)</f>
        <v>13932.16</v>
      </c>
      <c r="H33" s="64">
        <f t="shared" ref="H33:M33" si="22">SUM(H34:H38)</f>
        <v>180801</v>
      </c>
      <c r="I33" s="64">
        <f t="shared" si="22"/>
        <v>115801</v>
      </c>
      <c r="J33" s="64">
        <f t="shared" si="22"/>
        <v>90801</v>
      </c>
      <c r="K33" s="64">
        <f t="shared" si="22"/>
        <v>146551</v>
      </c>
      <c r="L33" s="64">
        <f t="shared" si="22"/>
        <v>101551</v>
      </c>
      <c r="M33" s="64">
        <f t="shared" si="22"/>
        <v>76551</v>
      </c>
    </row>
    <row r="34" spans="1:13" ht="25.5" outlineLevel="7">
      <c r="A34" s="8" t="s">
        <v>260</v>
      </c>
      <c r="B34" s="23"/>
      <c r="C34" s="24"/>
      <c r="D34" s="23"/>
      <c r="E34" s="23"/>
      <c r="F34" s="65">
        <v>15150</v>
      </c>
      <c r="G34" s="65">
        <v>9002.85</v>
      </c>
      <c r="H34" s="65">
        <v>11721</v>
      </c>
      <c r="I34" s="65">
        <v>11721</v>
      </c>
      <c r="J34" s="65">
        <v>11721</v>
      </c>
      <c r="K34" s="65">
        <v>11721</v>
      </c>
      <c r="L34" s="65">
        <v>11721</v>
      </c>
      <c r="M34" s="65">
        <v>11721</v>
      </c>
    </row>
    <row r="35" spans="1:13" ht="30.75" customHeight="1" outlineLevel="7">
      <c r="A35" s="9" t="s">
        <v>261</v>
      </c>
      <c r="B35" s="25"/>
      <c r="C35" s="26"/>
      <c r="D35" s="25"/>
      <c r="E35" s="25"/>
      <c r="F35" s="65">
        <f>20542.89+0.11-5032</f>
        <v>15511</v>
      </c>
      <c r="G35" s="65">
        <v>3329.31</v>
      </c>
      <c r="H35" s="65">
        <v>29670</v>
      </c>
      <c r="I35" s="65">
        <v>29670</v>
      </c>
      <c r="J35" s="65">
        <v>29670</v>
      </c>
      <c r="K35" s="65">
        <v>16670</v>
      </c>
      <c r="L35" s="65">
        <v>16670</v>
      </c>
      <c r="M35" s="65">
        <v>16670</v>
      </c>
    </row>
    <row r="36" spans="1:13" ht="25.5" outlineLevel="7">
      <c r="A36" s="8" t="s">
        <v>204</v>
      </c>
      <c r="B36" s="23"/>
      <c r="C36" s="24"/>
      <c r="D36" s="23"/>
      <c r="E36" s="23"/>
      <c r="F36" s="65">
        <v>4410</v>
      </c>
      <c r="G36" s="65"/>
      <c r="H36" s="65">
        <v>4410</v>
      </c>
      <c r="I36" s="65">
        <v>4410</v>
      </c>
      <c r="J36" s="65">
        <v>4410</v>
      </c>
      <c r="K36" s="65">
        <v>4410</v>
      </c>
      <c r="L36" s="65">
        <v>4410</v>
      </c>
      <c r="M36" s="65">
        <v>4410</v>
      </c>
    </row>
    <row r="37" spans="1:13" ht="51" outlineLevel="7">
      <c r="A37" s="8" t="s">
        <v>262</v>
      </c>
      <c r="B37" s="23"/>
      <c r="C37" s="24"/>
      <c r="D37" s="23"/>
      <c r="E37" s="23"/>
      <c r="F37" s="65">
        <v>24500</v>
      </c>
      <c r="G37" s="65">
        <v>1600</v>
      </c>
      <c r="H37" s="65">
        <v>45000</v>
      </c>
      <c r="I37" s="65">
        <v>45000</v>
      </c>
      <c r="J37" s="65">
        <v>45000</v>
      </c>
      <c r="K37" s="65">
        <v>43750</v>
      </c>
      <c r="L37" s="65">
        <v>43750</v>
      </c>
      <c r="M37" s="65">
        <v>43750</v>
      </c>
    </row>
    <row r="38" spans="1:13" ht="25.5" outlineLevel="7">
      <c r="A38" s="8" t="s">
        <v>205</v>
      </c>
      <c r="B38" s="23"/>
      <c r="C38" s="24"/>
      <c r="D38" s="23"/>
      <c r="E38" s="23"/>
      <c r="F38" s="66"/>
      <c r="G38" s="65"/>
      <c r="H38" s="66">
        <v>90000</v>
      </c>
      <c r="I38" s="66">
        <v>25000</v>
      </c>
      <c r="J38" s="66"/>
      <c r="K38" s="66">
        <v>70000</v>
      </c>
      <c r="L38" s="66">
        <v>25000</v>
      </c>
      <c r="M38" s="66"/>
    </row>
    <row r="39" spans="1:13" outlineLevel="5">
      <c r="A39" s="4" t="s">
        <v>82</v>
      </c>
      <c r="B39" s="19" t="s">
        <v>17</v>
      </c>
      <c r="C39" s="83" t="s">
        <v>101</v>
      </c>
      <c r="D39" s="19" t="s">
        <v>22</v>
      </c>
      <c r="E39" s="19" t="s">
        <v>54</v>
      </c>
      <c r="F39" s="67">
        <f t="shared" ref="F39" si="23">SUM(F40:F57)</f>
        <v>176607</v>
      </c>
      <c r="G39" s="67">
        <f>SUM(G40:G57)</f>
        <v>61961.95</v>
      </c>
      <c r="H39" s="67">
        <f t="shared" ref="H39:M39" si="24">SUM(H40:H57)</f>
        <v>86006</v>
      </c>
      <c r="I39" s="67">
        <f t="shared" si="24"/>
        <v>78406</v>
      </c>
      <c r="J39" s="67">
        <f t="shared" si="24"/>
        <v>71006</v>
      </c>
      <c r="K39" s="67">
        <f t="shared" si="24"/>
        <v>62481</v>
      </c>
      <c r="L39" s="67">
        <f t="shared" si="24"/>
        <v>75406</v>
      </c>
      <c r="M39" s="67">
        <f t="shared" si="24"/>
        <v>68006</v>
      </c>
    </row>
    <row r="40" spans="1:13" outlineLevel="5">
      <c r="A40" s="8" t="s">
        <v>23</v>
      </c>
      <c r="B40" s="23"/>
      <c r="C40" s="24"/>
      <c r="D40" s="23"/>
      <c r="E40" s="23"/>
      <c r="F40" s="66">
        <v>2000</v>
      </c>
      <c r="G40" s="65"/>
      <c r="H40" s="66">
        <v>3000</v>
      </c>
      <c r="I40" s="66">
        <v>3000</v>
      </c>
      <c r="J40" s="66">
        <v>3000</v>
      </c>
      <c r="K40" s="66"/>
      <c r="L40" s="66">
        <v>3000</v>
      </c>
      <c r="M40" s="66">
        <v>3000</v>
      </c>
    </row>
    <row r="41" spans="1:13" outlineLevel="7">
      <c r="A41" s="11" t="s">
        <v>206</v>
      </c>
      <c r="B41" s="166"/>
      <c r="C41" s="168"/>
      <c r="D41" s="167"/>
      <c r="E41" s="29"/>
      <c r="F41" s="66">
        <f>100000-25548.95</f>
        <v>74451.05</v>
      </c>
      <c r="G41" s="74"/>
      <c r="H41" s="66"/>
      <c r="I41" s="66"/>
      <c r="J41" s="66"/>
      <c r="K41" s="66"/>
      <c r="L41" s="66"/>
      <c r="M41" s="66"/>
    </row>
    <row r="42" spans="1:13" outlineLevel="7">
      <c r="A42" s="11" t="s">
        <v>174</v>
      </c>
      <c r="B42" s="166"/>
      <c r="C42" s="168"/>
      <c r="D42" s="167"/>
      <c r="E42" s="29"/>
      <c r="F42" s="66"/>
      <c r="G42" s="74"/>
      <c r="H42" s="66"/>
      <c r="I42" s="66"/>
      <c r="J42" s="66"/>
      <c r="K42" s="66"/>
      <c r="L42" s="66"/>
      <c r="M42" s="66"/>
    </row>
    <row r="43" spans="1:13" ht="15" customHeight="1" outlineLevel="7">
      <c r="A43" s="8" t="s">
        <v>86</v>
      </c>
      <c r="B43" s="23"/>
      <c r="C43" s="30"/>
      <c r="D43" s="23"/>
      <c r="E43" s="23"/>
      <c r="F43" s="66">
        <v>6000</v>
      </c>
      <c r="G43" s="65">
        <v>4000</v>
      </c>
      <c r="H43" s="66">
        <v>6000</v>
      </c>
      <c r="I43" s="66">
        <v>6000</v>
      </c>
      <c r="J43" s="66">
        <v>6000</v>
      </c>
      <c r="K43" s="66">
        <v>6000</v>
      </c>
      <c r="L43" s="66">
        <v>6000</v>
      </c>
      <c r="M43" s="66">
        <v>6000</v>
      </c>
    </row>
    <row r="44" spans="1:13" ht="15" customHeight="1" outlineLevel="7">
      <c r="A44" s="8" t="s">
        <v>252</v>
      </c>
      <c r="B44" s="114"/>
      <c r="C44" s="30"/>
      <c r="D44" s="97"/>
      <c r="E44" s="23"/>
      <c r="F44" s="66">
        <v>15000</v>
      </c>
      <c r="G44" s="65">
        <v>10000</v>
      </c>
      <c r="H44" s="66">
        <v>15000</v>
      </c>
      <c r="I44" s="66">
        <v>15000</v>
      </c>
      <c r="J44" s="66">
        <v>15000</v>
      </c>
      <c r="K44" s="66">
        <v>15000</v>
      </c>
      <c r="L44" s="66">
        <v>15000</v>
      </c>
      <c r="M44" s="66">
        <v>15000</v>
      </c>
    </row>
    <row r="45" spans="1:13" ht="15" customHeight="1" outlineLevel="7">
      <c r="A45" s="8" t="s">
        <v>175</v>
      </c>
      <c r="B45" s="114"/>
      <c r="C45" s="30"/>
      <c r="D45" s="97"/>
      <c r="E45" s="23"/>
      <c r="F45" s="66"/>
      <c r="G45" s="65"/>
      <c r="H45" s="66">
        <v>1600</v>
      </c>
      <c r="I45" s="66"/>
      <c r="J45" s="66">
        <v>1600</v>
      </c>
      <c r="K45" s="66"/>
      <c r="L45" s="66"/>
      <c r="M45" s="66">
        <v>1600</v>
      </c>
    </row>
    <row r="46" spans="1:13" ht="15" customHeight="1" outlineLevel="7">
      <c r="A46" s="8" t="s">
        <v>253</v>
      </c>
      <c r="B46" s="211"/>
      <c r="C46" s="95"/>
      <c r="D46" s="212"/>
      <c r="E46" s="23"/>
      <c r="F46" s="66">
        <v>16063</v>
      </c>
      <c r="G46" s="65">
        <v>16063</v>
      </c>
      <c r="H46" s="66"/>
      <c r="I46" s="66"/>
      <c r="J46" s="66"/>
      <c r="K46" s="66"/>
      <c r="L46" s="66"/>
      <c r="M46" s="66"/>
    </row>
    <row r="47" spans="1:13" ht="15" customHeight="1" outlineLevel="7">
      <c r="A47" s="210" t="s">
        <v>254</v>
      </c>
      <c r="B47" s="96"/>
      <c r="C47" s="30"/>
      <c r="D47" s="96"/>
      <c r="E47" s="97"/>
      <c r="F47" s="66">
        <v>5100</v>
      </c>
      <c r="G47" s="65">
        <v>5100</v>
      </c>
      <c r="H47" s="66"/>
      <c r="I47" s="66"/>
      <c r="J47" s="66"/>
      <c r="K47" s="66"/>
      <c r="L47" s="66"/>
      <c r="M47" s="66"/>
    </row>
    <row r="48" spans="1:13" outlineLevel="7">
      <c r="A48" s="210" t="s">
        <v>207</v>
      </c>
      <c r="B48" s="96"/>
      <c r="C48" s="118"/>
      <c r="D48" s="96"/>
      <c r="E48" s="97"/>
      <c r="F48" s="66">
        <v>6408</v>
      </c>
      <c r="G48" s="65"/>
      <c r="H48" s="66">
        <v>2345</v>
      </c>
      <c r="I48" s="66">
        <v>2345</v>
      </c>
      <c r="J48" s="66">
        <v>2345</v>
      </c>
      <c r="K48" s="66">
        <v>2345</v>
      </c>
      <c r="L48" s="66">
        <v>2345</v>
      </c>
      <c r="M48" s="66">
        <v>2345</v>
      </c>
    </row>
    <row r="49" spans="1:13" outlineLevel="7">
      <c r="A49" s="11" t="s">
        <v>83</v>
      </c>
      <c r="B49" s="213"/>
      <c r="C49" s="214"/>
      <c r="D49" s="213"/>
      <c r="E49" s="29"/>
      <c r="F49" s="66"/>
      <c r="G49" s="74"/>
      <c r="H49" s="66">
        <v>925</v>
      </c>
      <c r="I49" s="66">
        <v>925</v>
      </c>
      <c r="J49" s="66">
        <v>925</v>
      </c>
      <c r="K49" s="66"/>
      <c r="L49" s="66">
        <v>925</v>
      </c>
      <c r="M49" s="66">
        <v>925</v>
      </c>
    </row>
    <row r="50" spans="1:13" outlineLevel="7">
      <c r="A50" s="10" t="s">
        <v>208</v>
      </c>
      <c r="B50" s="27"/>
      <c r="C50" s="28"/>
      <c r="D50" s="27"/>
      <c r="E50" s="27"/>
      <c r="F50" s="66">
        <v>10936</v>
      </c>
      <c r="G50" s="74"/>
      <c r="H50" s="66">
        <v>10936</v>
      </c>
      <c r="I50" s="66">
        <v>10936</v>
      </c>
      <c r="J50" s="66">
        <v>10936</v>
      </c>
      <c r="K50" s="66">
        <v>10936</v>
      </c>
      <c r="L50" s="66">
        <v>10936</v>
      </c>
      <c r="M50" s="66">
        <v>10936</v>
      </c>
    </row>
    <row r="51" spans="1:13" outlineLevel="7">
      <c r="A51" s="10" t="s">
        <v>79</v>
      </c>
      <c r="B51" s="27"/>
      <c r="C51" s="28"/>
      <c r="D51" s="27"/>
      <c r="E51" s="27"/>
      <c r="F51" s="66"/>
      <c r="G51" s="74"/>
      <c r="H51" s="66"/>
      <c r="I51" s="66"/>
      <c r="J51" s="66"/>
      <c r="K51" s="66"/>
      <c r="L51" s="66"/>
      <c r="M51" s="66"/>
    </row>
    <row r="52" spans="1:13" ht="19.5" customHeight="1" outlineLevel="7">
      <c r="A52" s="10" t="s">
        <v>209</v>
      </c>
      <c r="B52" s="27"/>
      <c r="C52" s="28"/>
      <c r="D52" s="27"/>
      <c r="E52" s="27"/>
      <c r="F52" s="66">
        <v>13200</v>
      </c>
      <c r="G52" s="74">
        <v>3350</v>
      </c>
      <c r="H52" s="66">
        <v>13200</v>
      </c>
      <c r="I52" s="66">
        <v>13200</v>
      </c>
      <c r="J52" s="66">
        <v>13200</v>
      </c>
      <c r="K52" s="66">
        <v>13200</v>
      </c>
      <c r="L52" s="66">
        <v>13200</v>
      </c>
      <c r="M52" s="66">
        <v>13200</v>
      </c>
    </row>
    <row r="53" spans="1:13" outlineLevel="7">
      <c r="A53" s="10" t="s">
        <v>210</v>
      </c>
      <c r="B53" s="27"/>
      <c r="C53" s="28"/>
      <c r="D53" s="27"/>
      <c r="E53" s="27"/>
      <c r="F53" s="66">
        <v>4000</v>
      </c>
      <c r="G53" s="74"/>
      <c r="H53" s="66">
        <v>15000</v>
      </c>
      <c r="I53" s="66">
        <v>9000</v>
      </c>
      <c r="J53" s="66"/>
      <c r="K53" s="66"/>
      <c r="L53" s="66">
        <v>9000</v>
      </c>
      <c r="M53" s="66"/>
    </row>
    <row r="54" spans="1:13" ht="13.5" customHeight="1" outlineLevel="7">
      <c r="A54" s="10" t="s">
        <v>227</v>
      </c>
      <c r="B54" s="27"/>
      <c r="C54" s="28"/>
      <c r="D54" s="27"/>
      <c r="E54" s="27"/>
      <c r="F54" s="66"/>
      <c r="G54" s="74"/>
      <c r="H54" s="66"/>
      <c r="I54" s="66"/>
      <c r="J54" s="66"/>
      <c r="K54" s="66"/>
      <c r="L54" s="66"/>
      <c r="M54" s="66"/>
    </row>
    <row r="55" spans="1:13" outlineLevel="7">
      <c r="A55" s="10" t="s">
        <v>226</v>
      </c>
      <c r="B55" s="27"/>
      <c r="C55" s="28"/>
      <c r="D55" s="27"/>
      <c r="E55" s="27"/>
      <c r="F55" s="66"/>
      <c r="G55" s="74"/>
      <c r="H55" s="66"/>
      <c r="I55" s="66"/>
      <c r="J55" s="66"/>
      <c r="K55" s="66"/>
      <c r="L55" s="66"/>
      <c r="M55" s="66"/>
    </row>
    <row r="56" spans="1:13" outlineLevel="7">
      <c r="A56" s="8" t="s">
        <v>211</v>
      </c>
      <c r="B56" s="23"/>
      <c r="C56" s="24"/>
      <c r="D56" s="23"/>
      <c r="E56" s="23"/>
      <c r="F56" s="66">
        <v>15348.95</v>
      </c>
      <c r="G56" s="66">
        <v>15348.95</v>
      </c>
      <c r="H56" s="66">
        <v>12000</v>
      </c>
      <c r="I56" s="66">
        <v>12000</v>
      </c>
      <c r="J56" s="66">
        <v>12000</v>
      </c>
      <c r="K56" s="66">
        <v>12000</v>
      </c>
      <c r="L56" s="66">
        <v>12000</v>
      </c>
      <c r="M56" s="66">
        <v>12000</v>
      </c>
    </row>
    <row r="57" spans="1:13" outlineLevel="7">
      <c r="A57" s="8" t="s">
        <v>212</v>
      </c>
      <c r="B57" s="23"/>
      <c r="C57" s="24"/>
      <c r="D57" s="23"/>
      <c r="E57" s="23"/>
      <c r="F57" s="66">
        <v>8100</v>
      </c>
      <c r="G57" s="66">
        <v>8100</v>
      </c>
      <c r="H57" s="66">
        <v>6000</v>
      </c>
      <c r="I57" s="66">
        <v>6000</v>
      </c>
      <c r="J57" s="66">
        <v>6000</v>
      </c>
      <c r="K57" s="66">
        <v>3000</v>
      </c>
      <c r="L57" s="66">
        <v>3000</v>
      </c>
      <c r="M57" s="66">
        <v>3000</v>
      </c>
    </row>
    <row r="58" spans="1:13" ht="25.5" outlineLevel="7">
      <c r="A58" s="183" t="s">
        <v>263</v>
      </c>
      <c r="B58" s="34" t="s">
        <v>17</v>
      </c>
      <c r="C58" s="83" t="s">
        <v>101</v>
      </c>
      <c r="D58" s="34" t="s">
        <v>214</v>
      </c>
      <c r="E58" s="34" t="s">
        <v>54</v>
      </c>
      <c r="F58" s="184">
        <v>27694</v>
      </c>
      <c r="G58" s="72">
        <v>1198.51</v>
      </c>
      <c r="H58" s="184">
        <v>27564</v>
      </c>
      <c r="I58" s="184">
        <v>27564</v>
      </c>
      <c r="J58" s="184">
        <v>27564</v>
      </c>
      <c r="K58" s="184">
        <v>27564</v>
      </c>
      <c r="L58" s="184">
        <v>27564</v>
      </c>
      <c r="M58" s="184">
        <v>27564</v>
      </c>
    </row>
    <row r="59" spans="1:13" outlineLevel="7">
      <c r="A59" s="4" t="s">
        <v>87</v>
      </c>
      <c r="B59" s="19" t="s">
        <v>17</v>
      </c>
      <c r="C59" s="83" t="s">
        <v>101</v>
      </c>
      <c r="D59" s="19" t="s">
        <v>24</v>
      </c>
      <c r="E59" s="19" t="s">
        <v>54</v>
      </c>
      <c r="F59" s="64">
        <v>1000</v>
      </c>
      <c r="G59" s="64"/>
      <c r="H59" s="64">
        <v>1000</v>
      </c>
      <c r="I59" s="64">
        <v>1000</v>
      </c>
      <c r="J59" s="64">
        <v>1000</v>
      </c>
      <c r="K59" s="64"/>
      <c r="L59" s="64">
        <v>1000</v>
      </c>
      <c r="M59" s="64">
        <v>1000</v>
      </c>
    </row>
    <row r="60" spans="1:13" outlineLevel="7">
      <c r="A60" s="48"/>
      <c r="B60" s="49" t="s">
        <v>17</v>
      </c>
      <c r="C60" s="83" t="s">
        <v>101</v>
      </c>
      <c r="D60" s="49" t="s">
        <v>26</v>
      </c>
      <c r="E60" s="49" t="s">
        <v>54</v>
      </c>
      <c r="F60" s="68">
        <f t="shared" ref="F60" si="25">SUM(F61:F64)</f>
        <v>13444.14</v>
      </c>
      <c r="G60" s="68">
        <f t="shared" ref="G60:J60" si="26">SUM(G61:G64)</f>
        <v>12010.14</v>
      </c>
      <c r="H60" s="68">
        <f t="shared" si="26"/>
        <v>13011</v>
      </c>
      <c r="I60" s="68">
        <f t="shared" si="26"/>
        <v>13011</v>
      </c>
      <c r="J60" s="68">
        <f t="shared" si="26"/>
        <v>13011</v>
      </c>
      <c r="K60" s="68">
        <f t="shared" ref="K60:M60" si="27">SUM(K61:K64)</f>
        <v>4164</v>
      </c>
      <c r="L60" s="68">
        <f t="shared" si="27"/>
        <v>4164</v>
      </c>
      <c r="M60" s="68">
        <f t="shared" si="27"/>
        <v>4164</v>
      </c>
    </row>
    <row r="61" spans="1:13" outlineLevel="7">
      <c r="A61" s="53" t="s">
        <v>25</v>
      </c>
      <c r="B61" s="54"/>
      <c r="C61" s="30"/>
      <c r="D61" s="54"/>
      <c r="E61" s="54"/>
      <c r="F61" s="69">
        <v>1164</v>
      </c>
      <c r="G61" s="69">
        <v>1164</v>
      </c>
      <c r="H61" s="69">
        <v>1164</v>
      </c>
      <c r="I61" s="69">
        <v>1164</v>
      </c>
      <c r="J61" s="69">
        <v>1164</v>
      </c>
      <c r="K61" s="69">
        <v>1164</v>
      </c>
      <c r="L61" s="69">
        <v>1164</v>
      </c>
      <c r="M61" s="69">
        <v>1164</v>
      </c>
    </row>
    <row r="62" spans="1:13" outlineLevel="7">
      <c r="A62" s="53" t="s">
        <v>88</v>
      </c>
      <c r="B62" s="54"/>
      <c r="C62" s="30"/>
      <c r="D62" s="54"/>
      <c r="E62" s="54"/>
      <c r="F62" s="69">
        <v>1000</v>
      </c>
      <c r="G62" s="69"/>
      <c r="H62" s="69">
        <v>1000</v>
      </c>
      <c r="I62" s="69">
        <v>1000</v>
      </c>
      <c r="J62" s="69">
        <v>1000</v>
      </c>
      <c r="K62" s="69">
        <v>1000</v>
      </c>
      <c r="L62" s="69">
        <v>1000</v>
      </c>
      <c r="M62" s="69">
        <v>1000</v>
      </c>
    </row>
    <row r="63" spans="1:13" outlineLevel="7">
      <c r="A63" s="53" t="s">
        <v>255</v>
      </c>
      <c r="B63" s="54"/>
      <c r="C63" s="30"/>
      <c r="D63" s="54"/>
      <c r="E63" s="54"/>
      <c r="F63" s="69">
        <v>10846.14</v>
      </c>
      <c r="G63" s="69">
        <v>10846.14</v>
      </c>
      <c r="H63" s="69">
        <v>10847</v>
      </c>
      <c r="I63" s="69">
        <v>10847</v>
      </c>
      <c r="J63" s="69">
        <v>10847</v>
      </c>
      <c r="K63" s="69">
        <v>2000</v>
      </c>
      <c r="L63" s="69">
        <v>2000</v>
      </c>
      <c r="M63" s="69">
        <v>2000</v>
      </c>
    </row>
    <row r="64" spans="1:13" outlineLevel="7">
      <c r="A64" s="53" t="s">
        <v>92</v>
      </c>
      <c r="B64" s="54"/>
      <c r="C64" s="30"/>
      <c r="D64" s="54"/>
      <c r="E64" s="54"/>
      <c r="F64" s="69">
        <f>455-21</f>
        <v>434</v>
      </c>
      <c r="G64" s="69"/>
      <c r="H64" s="69"/>
      <c r="I64" s="69"/>
      <c r="J64" s="69"/>
      <c r="K64" s="69"/>
      <c r="L64" s="69"/>
      <c r="M64" s="69"/>
    </row>
    <row r="65" spans="1:13" ht="25.5" outlineLevel="7">
      <c r="A65" s="133" t="s">
        <v>40</v>
      </c>
      <c r="B65" s="134"/>
      <c r="C65" s="135"/>
      <c r="D65" s="136"/>
      <c r="E65" s="136"/>
      <c r="F65" s="61">
        <f t="shared" ref="F65:M65" si="28">SUM(F66:F73)</f>
        <v>556351</v>
      </c>
      <c r="G65" s="61">
        <f t="shared" si="28"/>
        <v>250422</v>
      </c>
      <c r="H65" s="61">
        <f t="shared" si="28"/>
        <v>681821</v>
      </c>
      <c r="I65" s="61">
        <f t="shared" si="28"/>
        <v>562898</v>
      </c>
      <c r="J65" s="61">
        <f t="shared" si="28"/>
        <v>572608</v>
      </c>
      <c r="K65" s="61">
        <f>SUM(K66:K73)</f>
        <v>577921</v>
      </c>
      <c r="L65" s="61">
        <f t="shared" si="28"/>
        <v>562898</v>
      </c>
      <c r="M65" s="61">
        <f t="shared" si="28"/>
        <v>572608</v>
      </c>
    </row>
    <row r="66" spans="1:13" ht="38.25" outlineLevel="7">
      <c r="A66" s="8" t="s">
        <v>123</v>
      </c>
      <c r="B66" s="23" t="s">
        <v>42</v>
      </c>
      <c r="C66" s="30" t="s">
        <v>108</v>
      </c>
      <c r="D66" s="23" t="s">
        <v>41</v>
      </c>
      <c r="E66" s="23" t="s">
        <v>54</v>
      </c>
      <c r="F66" s="65">
        <v>45000</v>
      </c>
      <c r="G66" s="65">
        <v>45000</v>
      </c>
      <c r="H66" s="65">
        <v>50482</v>
      </c>
      <c r="I66" s="65">
        <v>51060</v>
      </c>
      <c r="J66" s="65">
        <v>52945</v>
      </c>
      <c r="K66" s="65">
        <v>50482</v>
      </c>
      <c r="L66" s="65">
        <v>51060</v>
      </c>
      <c r="M66" s="65">
        <v>52945</v>
      </c>
    </row>
    <row r="67" spans="1:13" ht="38.25" outlineLevel="7">
      <c r="A67" s="8" t="s">
        <v>124</v>
      </c>
      <c r="B67" s="23" t="s">
        <v>30</v>
      </c>
      <c r="C67" s="30" t="s">
        <v>108</v>
      </c>
      <c r="D67" s="23" t="s">
        <v>41</v>
      </c>
      <c r="E67" s="23" t="s">
        <v>54</v>
      </c>
      <c r="F67" s="65">
        <v>205000</v>
      </c>
      <c r="G67" s="65">
        <v>127385</v>
      </c>
      <c r="H67" s="65">
        <v>190328</v>
      </c>
      <c r="I67" s="65">
        <v>189563</v>
      </c>
      <c r="J67" s="65">
        <v>196074</v>
      </c>
      <c r="K67" s="65">
        <v>190328</v>
      </c>
      <c r="L67" s="65">
        <v>189563</v>
      </c>
      <c r="M67" s="65">
        <v>196074</v>
      </c>
    </row>
    <row r="68" spans="1:13" ht="25.5" outlineLevel="7">
      <c r="A68" s="8" t="s">
        <v>72</v>
      </c>
      <c r="B68" s="23" t="s">
        <v>30</v>
      </c>
      <c r="C68" s="30" t="s">
        <v>109</v>
      </c>
      <c r="D68" s="23" t="s">
        <v>41</v>
      </c>
      <c r="E68" s="23" t="s">
        <v>54</v>
      </c>
      <c r="F68" s="65">
        <v>26794</v>
      </c>
      <c r="G68" s="65">
        <v>26794</v>
      </c>
      <c r="H68" s="65">
        <v>26048</v>
      </c>
      <c r="I68" s="65">
        <v>26989</v>
      </c>
      <c r="J68" s="65">
        <v>27966</v>
      </c>
      <c r="K68" s="65">
        <v>26048</v>
      </c>
      <c r="L68" s="65">
        <v>26989</v>
      </c>
      <c r="M68" s="65">
        <v>27966</v>
      </c>
    </row>
    <row r="69" spans="1:13" ht="38.25" outlineLevel="7">
      <c r="A69" s="8" t="s">
        <v>125</v>
      </c>
      <c r="B69" s="23" t="s">
        <v>30</v>
      </c>
      <c r="C69" s="30" t="s">
        <v>110</v>
      </c>
      <c r="D69" s="23" t="s">
        <v>41</v>
      </c>
      <c r="E69" s="23" t="s">
        <v>54</v>
      </c>
      <c r="F69" s="65">
        <v>2424</v>
      </c>
      <c r="G69" s="65">
        <v>2424</v>
      </c>
      <c r="H69" s="65">
        <v>2754</v>
      </c>
      <c r="I69" s="65">
        <v>2865</v>
      </c>
      <c r="J69" s="65">
        <v>2980</v>
      </c>
      <c r="K69" s="65">
        <v>2754</v>
      </c>
      <c r="L69" s="65">
        <v>2865</v>
      </c>
      <c r="M69" s="65">
        <v>2980</v>
      </c>
    </row>
    <row r="70" spans="1:13" ht="27" customHeight="1" outlineLevel="7">
      <c r="A70" s="8" t="s">
        <v>73</v>
      </c>
      <c r="B70" s="23" t="s">
        <v>43</v>
      </c>
      <c r="C70" s="30" t="s">
        <v>111</v>
      </c>
      <c r="D70" s="23" t="s">
        <v>41</v>
      </c>
      <c r="E70" s="23" t="s">
        <v>54</v>
      </c>
      <c r="F70" s="65">
        <v>8176</v>
      </c>
      <c r="G70" s="65">
        <v>0</v>
      </c>
      <c r="H70" s="65">
        <v>8176</v>
      </c>
      <c r="I70" s="65">
        <v>8176</v>
      </c>
      <c r="J70" s="65">
        <v>8176</v>
      </c>
      <c r="K70" s="65">
        <v>8176</v>
      </c>
      <c r="L70" s="65">
        <v>8176</v>
      </c>
      <c r="M70" s="65">
        <v>8176</v>
      </c>
    </row>
    <row r="71" spans="1:13" outlineLevel="7">
      <c r="A71" s="92" t="s">
        <v>85</v>
      </c>
      <c r="B71" s="23" t="s">
        <v>12</v>
      </c>
      <c r="C71" s="30" t="s">
        <v>107</v>
      </c>
      <c r="D71" s="23" t="s">
        <v>41</v>
      </c>
      <c r="E71" s="23" t="s">
        <v>54</v>
      </c>
      <c r="F71" s="90">
        <v>5592</v>
      </c>
      <c r="G71" s="90">
        <v>5592</v>
      </c>
      <c r="H71" s="65">
        <v>5864</v>
      </c>
      <c r="I71" s="90">
        <v>6076</v>
      </c>
      <c r="J71" s="65">
        <v>6298</v>
      </c>
      <c r="K71" s="65">
        <v>5864</v>
      </c>
      <c r="L71" s="90">
        <v>6076</v>
      </c>
      <c r="M71" s="65">
        <v>6298</v>
      </c>
    </row>
    <row r="72" spans="1:13" ht="25.5" outlineLevel="7">
      <c r="A72" s="8" t="s">
        <v>74</v>
      </c>
      <c r="B72" s="23" t="s">
        <v>39</v>
      </c>
      <c r="C72" s="30" t="s">
        <v>112</v>
      </c>
      <c r="D72" s="23" t="s">
        <v>41</v>
      </c>
      <c r="E72" s="23" t="s">
        <v>54</v>
      </c>
      <c r="F72" s="90">
        <f>323365-60000</f>
        <v>263365</v>
      </c>
      <c r="G72" s="90">
        <v>33715</v>
      </c>
      <c r="H72" s="66">
        <v>346426</v>
      </c>
      <c r="I72" s="90">
        <v>226426</v>
      </c>
      <c r="J72" s="90">
        <v>226426</v>
      </c>
      <c r="K72" s="66">
        <f>346426-88500</f>
        <v>257926</v>
      </c>
      <c r="L72" s="90">
        <v>226426</v>
      </c>
      <c r="M72" s="90">
        <v>226426</v>
      </c>
    </row>
    <row r="73" spans="1:13" ht="38.25" outlineLevel="7">
      <c r="A73" s="93" t="s">
        <v>75</v>
      </c>
      <c r="B73" s="94" t="s">
        <v>44</v>
      </c>
      <c r="C73" s="95" t="s">
        <v>113</v>
      </c>
      <c r="D73" s="94" t="s">
        <v>41</v>
      </c>
      <c r="E73" s="94" t="s">
        <v>54</v>
      </c>
      <c r="G73" s="90">
        <v>9512</v>
      </c>
      <c r="H73" s="90">
        <f>25400+26343</f>
        <v>51743</v>
      </c>
      <c r="I73" s="90">
        <f t="shared" ref="I73:M73" si="29">25400+26343</f>
        <v>51743</v>
      </c>
      <c r="J73" s="90">
        <f t="shared" si="29"/>
        <v>51743</v>
      </c>
      <c r="K73" s="90">
        <f>49743-13400</f>
        <v>36343</v>
      </c>
      <c r="L73" s="90">
        <f t="shared" si="29"/>
        <v>51743</v>
      </c>
      <c r="M73" s="90">
        <f t="shared" si="29"/>
        <v>51743</v>
      </c>
    </row>
    <row r="74" spans="1:13" outlineLevel="4">
      <c r="A74" s="150" t="s">
        <v>166</v>
      </c>
      <c r="B74" s="17" t="s">
        <v>28</v>
      </c>
      <c r="C74" s="152" t="s">
        <v>106</v>
      </c>
      <c r="D74" s="17" t="s">
        <v>29</v>
      </c>
      <c r="E74" s="17" t="s">
        <v>54</v>
      </c>
      <c r="F74" s="151">
        <f t="shared" ref="F74" si="30">SUM(F75:F76)</f>
        <v>8000</v>
      </c>
      <c r="G74" s="151">
        <f t="shared" ref="G74:M74" si="31">SUM(G75:G76)</f>
        <v>0</v>
      </c>
      <c r="H74" s="151">
        <f t="shared" si="31"/>
        <v>20000</v>
      </c>
      <c r="I74" s="151">
        <f t="shared" si="31"/>
        <v>20000</v>
      </c>
      <c r="J74" s="151">
        <f t="shared" si="31"/>
        <v>20000</v>
      </c>
      <c r="K74" s="151">
        <f t="shared" si="31"/>
        <v>8000</v>
      </c>
      <c r="L74" s="151">
        <f t="shared" si="31"/>
        <v>8000</v>
      </c>
      <c r="M74" s="151">
        <f t="shared" si="31"/>
        <v>8000</v>
      </c>
    </row>
    <row r="75" spans="1:13" ht="28.5" customHeight="1" outlineLevel="4">
      <c r="A75" s="53" t="s">
        <v>167</v>
      </c>
      <c r="B75" s="113"/>
      <c r="C75" s="117"/>
      <c r="D75" s="115"/>
      <c r="E75" s="17"/>
      <c r="F75" s="66">
        <v>3000</v>
      </c>
      <c r="G75" s="65"/>
      <c r="H75" s="66">
        <v>10000</v>
      </c>
      <c r="I75" s="66">
        <v>10000</v>
      </c>
      <c r="J75" s="66">
        <v>10000</v>
      </c>
      <c r="K75" s="66">
        <v>3000</v>
      </c>
      <c r="L75" s="66">
        <v>3000</v>
      </c>
      <c r="M75" s="66">
        <v>3000</v>
      </c>
    </row>
    <row r="76" spans="1:13" outlineLevel="4">
      <c r="A76" s="53" t="s">
        <v>168</v>
      </c>
      <c r="B76" s="113"/>
      <c r="C76" s="117"/>
      <c r="D76" s="115"/>
      <c r="E76" s="17"/>
      <c r="F76" s="66">
        <v>5000</v>
      </c>
      <c r="G76" s="65"/>
      <c r="H76" s="66">
        <v>10000</v>
      </c>
      <c r="I76" s="66">
        <v>10000</v>
      </c>
      <c r="J76" s="66">
        <v>10000</v>
      </c>
      <c r="K76" s="66">
        <v>5000</v>
      </c>
      <c r="L76" s="66">
        <v>5000</v>
      </c>
      <c r="M76" s="66">
        <v>5000</v>
      </c>
    </row>
    <row r="77" spans="1:13" ht="25.5" outlineLevel="4">
      <c r="A77" s="7" t="s">
        <v>66</v>
      </c>
      <c r="B77" s="17"/>
      <c r="C77" s="21" t="s">
        <v>105</v>
      </c>
      <c r="D77" s="17" t="s">
        <v>22</v>
      </c>
      <c r="E77" s="17" t="s">
        <v>54</v>
      </c>
      <c r="F77" s="71">
        <f t="shared" ref="F77" si="32">SUM(F78:F81)</f>
        <v>0</v>
      </c>
      <c r="G77" s="71">
        <f t="shared" ref="G77:M77" si="33">SUM(G78:G81)</f>
        <v>0</v>
      </c>
      <c r="H77" s="71">
        <f t="shared" si="33"/>
        <v>8000</v>
      </c>
      <c r="I77" s="71">
        <f t="shared" si="33"/>
        <v>0</v>
      </c>
      <c r="J77" s="71">
        <f t="shared" si="33"/>
        <v>0</v>
      </c>
      <c r="K77" s="71">
        <f t="shared" si="33"/>
        <v>0</v>
      </c>
      <c r="L77" s="71">
        <f t="shared" si="33"/>
        <v>0</v>
      </c>
      <c r="M77" s="71">
        <f t="shared" si="33"/>
        <v>0</v>
      </c>
    </row>
    <row r="78" spans="1:13" ht="38.25" outlineLevel="4">
      <c r="A78" s="8" t="s">
        <v>240</v>
      </c>
      <c r="B78" s="23" t="s">
        <v>32</v>
      </c>
      <c r="C78" s="30" t="s">
        <v>105</v>
      </c>
      <c r="D78" s="23" t="s">
        <v>22</v>
      </c>
      <c r="E78" s="23" t="s">
        <v>54</v>
      </c>
      <c r="F78" s="66"/>
      <c r="G78" s="65"/>
      <c r="H78" s="66">
        <v>8000</v>
      </c>
      <c r="I78" s="66"/>
      <c r="J78" s="66"/>
      <c r="K78" s="66"/>
      <c r="L78" s="66"/>
      <c r="M78" s="66"/>
    </row>
    <row r="79" spans="1:13" outlineLevel="4">
      <c r="A79" s="8"/>
      <c r="B79" s="23" t="s">
        <v>30</v>
      </c>
      <c r="C79" s="30" t="s">
        <v>105</v>
      </c>
      <c r="D79" s="23" t="s">
        <v>22</v>
      </c>
      <c r="E79" s="23" t="s">
        <v>54</v>
      </c>
      <c r="F79" s="66"/>
      <c r="G79" s="65"/>
      <c r="H79" s="66"/>
      <c r="I79" s="66"/>
      <c r="J79" s="66"/>
      <c r="K79" s="66"/>
      <c r="L79" s="66"/>
      <c r="M79" s="66"/>
    </row>
    <row r="80" spans="1:13" ht="25.5" outlineLevel="4">
      <c r="A80" s="8" t="s">
        <v>186</v>
      </c>
      <c r="B80" s="23" t="s">
        <v>32</v>
      </c>
      <c r="C80" s="30" t="s">
        <v>187</v>
      </c>
      <c r="D80" s="23" t="s">
        <v>22</v>
      </c>
      <c r="E80" s="23" t="s">
        <v>164</v>
      </c>
      <c r="F80" s="66"/>
      <c r="G80" s="65"/>
      <c r="H80" s="66"/>
      <c r="I80" s="185"/>
      <c r="J80" s="66"/>
      <c r="K80" s="66"/>
      <c r="L80" s="185"/>
      <c r="M80" s="66"/>
    </row>
    <row r="81" spans="1:13" outlineLevel="4">
      <c r="A81" s="8" t="s">
        <v>188</v>
      </c>
      <c r="B81" s="23" t="s">
        <v>32</v>
      </c>
      <c r="C81" s="30" t="s">
        <v>187</v>
      </c>
      <c r="D81" s="23" t="s">
        <v>22</v>
      </c>
      <c r="E81" s="23" t="s">
        <v>78</v>
      </c>
      <c r="F81" s="66"/>
      <c r="G81" s="65"/>
      <c r="H81" s="66"/>
      <c r="I81" s="185"/>
      <c r="J81" s="66"/>
      <c r="K81" s="66"/>
      <c r="L81" s="185"/>
      <c r="M81" s="66"/>
    </row>
    <row r="82" spans="1:13" outlineLevel="4">
      <c r="A82" s="7" t="s">
        <v>69</v>
      </c>
      <c r="B82" s="17" t="s">
        <v>30</v>
      </c>
      <c r="C82" s="21" t="s">
        <v>114</v>
      </c>
      <c r="D82" s="17" t="s">
        <v>22</v>
      </c>
      <c r="E82" s="17" t="s">
        <v>54</v>
      </c>
      <c r="F82" s="61">
        <f t="shared" ref="F82" si="34">SUM(F83:F84)</f>
        <v>1000</v>
      </c>
      <c r="G82" s="61">
        <f t="shared" ref="G82:M82" si="35">SUM(G83:G84)</f>
        <v>0</v>
      </c>
      <c r="H82" s="61">
        <f t="shared" si="35"/>
        <v>1000</v>
      </c>
      <c r="I82" s="61">
        <f t="shared" si="35"/>
        <v>1000</v>
      </c>
      <c r="J82" s="61">
        <f t="shared" si="35"/>
        <v>1000</v>
      </c>
      <c r="K82" s="61">
        <f t="shared" si="35"/>
        <v>0</v>
      </c>
      <c r="L82" s="61">
        <f t="shared" si="35"/>
        <v>1000</v>
      </c>
      <c r="M82" s="61">
        <f t="shared" si="35"/>
        <v>1000</v>
      </c>
    </row>
    <row r="83" spans="1:13" ht="25.5" outlineLevel="4">
      <c r="A83" s="8" t="s">
        <v>169</v>
      </c>
      <c r="B83" s="23"/>
      <c r="C83" s="30"/>
      <c r="D83" s="23"/>
      <c r="E83" s="23"/>
      <c r="F83" s="65">
        <v>1000</v>
      </c>
      <c r="G83" s="65"/>
      <c r="H83" s="65">
        <v>1000</v>
      </c>
      <c r="I83" s="65">
        <v>1000</v>
      </c>
      <c r="J83" s="65">
        <v>1000</v>
      </c>
      <c r="K83" s="65">
        <v>0</v>
      </c>
      <c r="L83" s="65">
        <v>1000</v>
      </c>
      <c r="M83" s="65">
        <v>1000</v>
      </c>
    </row>
    <row r="84" spans="1:13" outlineLevel="4">
      <c r="A84" s="8"/>
      <c r="B84" s="23"/>
      <c r="C84" s="30"/>
      <c r="D84" s="23"/>
      <c r="E84" s="23"/>
      <c r="F84" s="65"/>
      <c r="G84" s="65"/>
      <c r="H84" s="65"/>
      <c r="I84" s="65"/>
      <c r="J84" s="65"/>
      <c r="K84" s="65"/>
      <c r="L84" s="65"/>
      <c r="M84" s="65"/>
    </row>
    <row r="85" spans="1:13" outlineLevel="4">
      <c r="A85" s="7" t="s">
        <v>67</v>
      </c>
      <c r="B85" s="17" t="s">
        <v>30</v>
      </c>
      <c r="C85" s="21" t="s">
        <v>115</v>
      </c>
      <c r="D85" s="17" t="s">
        <v>22</v>
      </c>
      <c r="E85" s="17" t="s">
        <v>54</v>
      </c>
      <c r="F85" s="61">
        <v>20000</v>
      </c>
      <c r="G85" s="61"/>
      <c r="H85" s="61">
        <v>30000</v>
      </c>
      <c r="I85" s="61">
        <v>30000</v>
      </c>
      <c r="J85" s="61">
        <v>30000</v>
      </c>
      <c r="K85" s="61">
        <v>15000</v>
      </c>
      <c r="L85" s="61">
        <v>15000</v>
      </c>
      <c r="M85" s="61">
        <v>15000</v>
      </c>
    </row>
    <row r="86" spans="1:13" ht="15.75" customHeight="1" outlineLevel="4">
      <c r="A86" s="50" t="s">
        <v>104</v>
      </c>
      <c r="B86" s="51" t="s">
        <v>27</v>
      </c>
      <c r="C86" s="52" t="s">
        <v>103</v>
      </c>
      <c r="D86" s="51" t="s">
        <v>213</v>
      </c>
      <c r="E86" s="51" t="s">
        <v>54</v>
      </c>
      <c r="F86" s="61">
        <v>0</v>
      </c>
      <c r="G86" s="61"/>
      <c r="H86" s="61"/>
      <c r="I86" s="61"/>
      <c r="J86" s="61"/>
      <c r="K86" s="61"/>
      <c r="L86" s="61"/>
      <c r="M86" s="61"/>
    </row>
    <row r="87" spans="1:13" ht="15.75" customHeight="1" outlineLevel="4">
      <c r="A87" s="150" t="s">
        <v>118</v>
      </c>
      <c r="B87" s="120" t="s">
        <v>30</v>
      </c>
      <c r="C87" s="55" t="s">
        <v>117</v>
      </c>
      <c r="D87" s="120" t="s">
        <v>29</v>
      </c>
      <c r="E87" s="120" t="s">
        <v>54</v>
      </c>
      <c r="F87" s="61">
        <f t="shared" ref="F87" si="36">SUM(F88:F89)</f>
        <v>0</v>
      </c>
      <c r="G87" s="61">
        <f t="shared" ref="G87:M87" si="37">SUM(G88:G89)</f>
        <v>0</v>
      </c>
      <c r="H87" s="61">
        <f t="shared" si="37"/>
        <v>0</v>
      </c>
      <c r="I87" s="61">
        <f t="shared" si="37"/>
        <v>0</v>
      </c>
      <c r="J87" s="61">
        <f t="shared" si="37"/>
        <v>0</v>
      </c>
      <c r="K87" s="61">
        <f t="shared" si="37"/>
        <v>0</v>
      </c>
      <c r="L87" s="61">
        <f t="shared" si="37"/>
        <v>0</v>
      </c>
      <c r="M87" s="61">
        <f t="shared" si="37"/>
        <v>0</v>
      </c>
    </row>
    <row r="88" spans="1:13" ht="15.75" customHeight="1" outlineLevel="4">
      <c r="A88" s="202"/>
      <c r="B88" s="96"/>
      <c r="C88" s="30"/>
      <c r="D88" s="96"/>
      <c r="E88" s="96"/>
      <c r="F88" s="200"/>
      <c r="G88" s="156"/>
      <c r="H88" s="156"/>
      <c r="I88" s="156"/>
      <c r="J88" s="156"/>
      <c r="K88" s="200"/>
      <c r="L88" s="200"/>
      <c r="M88" s="200"/>
    </row>
    <row r="89" spans="1:13" ht="15.75" customHeight="1" outlineLevel="4">
      <c r="A89" s="53"/>
      <c r="B89" s="96"/>
      <c r="C89" s="30"/>
      <c r="D89" s="96"/>
      <c r="E89" s="96"/>
      <c r="F89" s="156"/>
      <c r="G89" s="156"/>
      <c r="H89" s="156"/>
      <c r="I89" s="156"/>
      <c r="J89" s="156"/>
      <c r="K89" s="156"/>
      <c r="L89" s="156"/>
      <c r="M89" s="156"/>
    </row>
    <row r="90" spans="1:13" ht="15.75" customHeight="1" outlineLevel="4">
      <c r="A90" s="153" t="s">
        <v>155</v>
      </c>
      <c r="B90" s="154"/>
      <c r="C90" s="155" t="s">
        <v>157</v>
      </c>
      <c r="D90" s="154" t="s">
        <v>22</v>
      </c>
      <c r="E90" s="154" t="s">
        <v>54</v>
      </c>
      <c r="F90" s="157">
        <f t="shared" ref="F90" si="38">F91+F92</f>
        <v>0</v>
      </c>
      <c r="G90" s="157">
        <f t="shared" ref="G90:M90" si="39">G91+G92</f>
        <v>0</v>
      </c>
      <c r="H90" s="157">
        <f t="shared" si="39"/>
        <v>30000</v>
      </c>
      <c r="I90" s="157">
        <f t="shared" si="39"/>
        <v>30000</v>
      </c>
      <c r="J90" s="157">
        <f t="shared" si="39"/>
        <v>30000</v>
      </c>
      <c r="K90" s="157">
        <f t="shared" si="39"/>
        <v>0</v>
      </c>
      <c r="L90" s="157">
        <f t="shared" si="39"/>
        <v>0</v>
      </c>
      <c r="M90" s="157">
        <f t="shared" si="39"/>
        <v>0</v>
      </c>
    </row>
    <row r="91" spans="1:13" ht="15.75" customHeight="1" outlineLevel="4">
      <c r="A91" s="53" t="s">
        <v>156</v>
      </c>
      <c r="B91" s="96" t="s">
        <v>39</v>
      </c>
      <c r="C91" s="95" t="s">
        <v>157</v>
      </c>
      <c r="D91" s="96" t="s">
        <v>22</v>
      </c>
      <c r="E91" s="96" t="s">
        <v>54</v>
      </c>
      <c r="F91" s="69"/>
      <c r="G91" s="69"/>
      <c r="H91" s="69">
        <v>30000</v>
      </c>
      <c r="I91" s="69">
        <v>30000</v>
      </c>
      <c r="J91" s="69">
        <v>30000</v>
      </c>
      <c r="K91" s="69"/>
      <c r="L91" s="69"/>
      <c r="M91" s="69"/>
    </row>
    <row r="92" spans="1:13" ht="15.75" customHeight="1" outlineLevel="4">
      <c r="A92" s="53"/>
      <c r="B92" s="96" t="s">
        <v>30</v>
      </c>
      <c r="C92" s="95" t="s">
        <v>157</v>
      </c>
      <c r="D92" s="96" t="s">
        <v>22</v>
      </c>
      <c r="E92" s="96" t="s">
        <v>54</v>
      </c>
      <c r="F92" s="69"/>
      <c r="G92" s="69"/>
      <c r="H92" s="69"/>
      <c r="I92" s="69"/>
      <c r="J92" s="69"/>
      <c r="K92" s="69"/>
      <c r="L92" s="69"/>
      <c r="M92" s="69"/>
    </row>
    <row r="93" spans="1:13" ht="15.75" customHeight="1" outlineLevel="4">
      <c r="A93" s="186" t="s">
        <v>215</v>
      </c>
      <c r="B93" s="163" t="s">
        <v>30</v>
      </c>
      <c r="C93" s="121" t="s">
        <v>216</v>
      </c>
      <c r="D93" s="163" t="s">
        <v>18</v>
      </c>
      <c r="E93" s="163"/>
      <c r="F93" s="165">
        <f t="shared" ref="F93" si="40">F94+F95</f>
        <v>91140</v>
      </c>
      <c r="G93" s="165">
        <f t="shared" ref="G93:M93" si="41">G94+G95</f>
        <v>47361.47</v>
      </c>
      <c r="H93" s="165">
        <f t="shared" si="41"/>
        <v>234360</v>
      </c>
      <c r="I93" s="165">
        <f t="shared" si="41"/>
        <v>234360</v>
      </c>
      <c r="J93" s="165">
        <f t="shared" si="41"/>
        <v>234360</v>
      </c>
      <c r="K93" s="165">
        <f t="shared" si="41"/>
        <v>234360</v>
      </c>
      <c r="L93" s="165">
        <f t="shared" si="41"/>
        <v>234360</v>
      </c>
      <c r="M93" s="165">
        <f t="shared" si="41"/>
        <v>234360</v>
      </c>
    </row>
    <row r="94" spans="1:13" ht="15.75" customHeight="1" outlineLevel="4">
      <c r="A94" s="53"/>
      <c r="B94" s="96" t="s">
        <v>30</v>
      </c>
      <c r="C94" s="95" t="s">
        <v>216</v>
      </c>
      <c r="D94" s="96" t="s">
        <v>18</v>
      </c>
      <c r="E94" s="96" t="s">
        <v>46</v>
      </c>
      <c r="F94" s="69">
        <v>70000</v>
      </c>
      <c r="G94" s="69">
        <v>36375.94</v>
      </c>
      <c r="H94" s="69">
        <v>180000</v>
      </c>
      <c r="I94" s="69">
        <v>180000</v>
      </c>
      <c r="J94" s="69">
        <v>180000</v>
      </c>
      <c r="K94" s="69">
        <v>180000</v>
      </c>
      <c r="L94" s="69">
        <v>180000</v>
      </c>
      <c r="M94" s="69">
        <v>180000</v>
      </c>
    </row>
    <row r="95" spans="1:13" ht="15.75" customHeight="1" outlineLevel="4">
      <c r="A95" s="53"/>
      <c r="B95" s="96" t="s">
        <v>30</v>
      </c>
      <c r="C95" s="95" t="s">
        <v>216</v>
      </c>
      <c r="D95" s="96" t="s">
        <v>55</v>
      </c>
      <c r="E95" s="96" t="s">
        <v>46</v>
      </c>
      <c r="F95" s="69">
        <v>21140</v>
      </c>
      <c r="G95" s="69">
        <v>10985.53</v>
      </c>
      <c r="H95" s="69">
        <v>54360</v>
      </c>
      <c r="I95" s="69">
        <v>54360</v>
      </c>
      <c r="J95" s="69">
        <v>54360</v>
      </c>
      <c r="K95" s="69">
        <v>54360</v>
      </c>
      <c r="L95" s="69">
        <v>54360</v>
      </c>
      <c r="M95" s="69">
        <v>54360</v>
      </c>
    </row>
    <row r="96" spans="1:13" ht="54" customHeight="1" outlineLevel="4">
      <c r="A96" s="186" t="s">
        <v>256</v>
      </c>
      <c r="B96" s="163" t="s">
        <v>30</v>
      </c>
      <c r="C96" s="21" t="s">
        <v>258</v>
      </c>
      <c r="D96" s="163" t="s">
        <v>257</v>
      </c>
      <c r="E96" s="163" t="s">
        <v>46</v>
      </c>
      <c r="F96" s="165">
        <v>34638.410000000003</v>
      </c>
      <c r="G96" s="165">
        <v>34638.410000000003</v>
      </c>
      <c r="H96" s="165"/>
      <c r="I96" s="165"/>
      <c r="J96" s="165"/>
      <c r="K96" s="165"/>
      <c r="L96" s="165"/>
      <c r="M96" s="165"/>
    </row>
    <row r="97" spans="1:13" ht="28.5" customHeight="1" outlineLevel="4">
      <c r="A97" s="137" t="s">
        <v>150</v>
      </c>
      <c r="B97" s="251" t="s">
        <v>151</v>
      </c>
      <c r="C97" s="252"/>
      <c r="D97" s="252"/>
      <c r="E97" s="253"/>
      <c r="F97" s="138">
        <f t="shared" ref="F97:M97" si="42">F98</f>
        <v>1000</v>
      </c>
      <c r="G97" s="138">
        <f t="shared" si="42"/>
        <v>0</v>
      </c>
      <c r="H97" s="138">
        <f t="shared" si="42"/>
        <v>1000</v>
      </c>
      <c r="I97" s="138">
        <f t="shared" si="42"/>
        <v>1000</v>
      </c>
      <c r="J97" s="138">
        <f t="shared" si="42"/>
        <v>1000</v>
      </c>
      <c r="K97" s="138">
        <f t="shared" si="42"/>
        <v>0</v>
      </c>
      <c r="L97" s="138">
        <f t="shared" si="42"/>
        <v>1000</v>
      </c>
      <c r="M97" s="138">
        <f t="shared" si="42"/>
        <v>1000</v>
      </c>
    </row>
    <row r="98" spans="1:13" ht="25.5" outlineLevel="7">
      <c r="A98" s="7" t="s">
        <v>68</v>
      </c>
      <c r="B98" s="120" t="s">
        <v>30</v>
      </c>
      <c r="C98" s="121" t="s">
        <v>116</v>
      </c>
      <c r="D98" s="120" t="s">
        <v>22</v>
      </c>
      <c r="E98" s="120" t="s">
        <v>54</v>
      </c>
      <c r="F98" s="61">
        <v>1000</v>
      </c>
      <c r="G98" s="61"/>
      <c r="H98" s="61">
        <v>1000</v>
      </c>
      <c r="I98" s="61">
        <v>1000</v>
      </c>
      <c r="J98" s="61">
        <v>1000</v>
      </c>
      <c r="K98" s="61"/>
      <c r="L98" s="61">
        <v>1000</v>
      </c>
      <c r="M98" s="61">
        <v>1000</v>
      </c>
    </row>
    <row r="99" spans="1:13" ht="24" customHeight="1" outlineLevel="7">
      <c r="A99" s="139" t="s">
        <v>128</v>
      </c>
      <c r="B99" s="254" t="s">
        <v>152</v>
      </c>
      <c r="C99" s="254"/>
      <c r="D99" s="254"/>
      <c r="E99" s="254"/>
      <c r="F99" s="105">
        <f>F100+F103</f>
        <v>674600</v>
      </c>
      <c r="G99" s="105">
        <f t="shared" ref="G99:M99" si="43">G100+G103</f>
        <v>248966.8</v>
      </c>
      <c r="H99" s="105">
        <f t="shared" si="43"/>
        <v>396950</v>
      </c>
      <c r="I99" s="105">
        <f t="shared" si="43"/>
        <v>907000</v>
      </c>
      <c r="J99" s="105">
        <f t="shared" si="43"/>
        <v>907000</v>
      </c>
      <c r="K99" s="105">
        <f>K100+K103</f>
        <v>584000</v>
      </c>
      <c r="L99" s="105">
        <f t="shared" si="43"/>
        <v>584000</v>
      </c>
      <c r="M99" s="105">
        <f t="shared" si="43"/>
        <v>584000</v>
      </c>
    </row>
    <row r="100" spans="1:13" outlineLevel="7">
      <c r="A100" s="101" t="s">
        <v>84</v>
      </c>
      <c r="B100" s="102" t="s">
        <v>31</v>
      </c>
      <c r="C100" s="103"/>
      <c r="D100" s="102"/>
      <c r="E100" s="102" t="s">
        <v>54</v>
      </c>
      <c r="F100" s="104">
        <f t="shared" ref="F100" si="44">F101+F102</f>
        <v>0</v>
      </c>
      <c r="G100" s="104">
        <f t="shared" ref="G100:M100" si="45">G101+G102</f>
        <v>0</v>
      </c>
      <c r="H100" s="104">
        <f t="shared" si="45"/>
        <v>0</v>
      </c>
      <c r="I100" s="104">
        <f t="shared" si="45"/>
        <v>400000</v>
      </c>
      <c r="J100" s="104">
        <f t="shared" si="45"/>
        <v>400000</v>
      </c>
      <c r="K100" s="104">
        <f t="shared" si="45"/>
        <v>0</v>
      </c>
      <c r="L100" s="104">
        <f>L101+L102</f>
        <v>0</v>
      </c>
      <c r="M100" s="104">
        <f t="shared" si="45"/>
        <v>0</v>
      </c>
    </row>
    <row r="101" spans="1:13" outlineLevel="7">
      <c r="A101" s="101" t="s">
        <v>135</v>
      </c>
      <c r="B101" s="102"/>
      <c r="C101" s="103"/>
      <c r="D101" s="102"/>
      <c r="E101" s="102"/>
      <c r="F101" s="72"/>
      <c r="G101" s="72"/>
      <c r="H101" s="72"/>
      <c r="I101" s="72"/>
      <c r="J101" s="72"/>
      <c r="K101" s="72"/>
      <c r="L101" s="72"/>
      <c r="M101" s="72"/>
    </row>
    <row r="102" spans="1:13" outlineLevel="7">
      <c r="A102" s="101" t="s">
        <v>225</v>
      </c>
      <c r="B102" s="102" t="s">
        <v>31</v>
      </c>
      <c r="C102" s="112" t="s">
        <v>219</v>
      </c>
      <c r="D102" s="102" t="s">
        <v>22</v>
      </c>
      <c r="E102" s="102" t="s">
        <v>54</v>
      </c>
      <c r="F102" s="72">
        <v>0</v>
      </c>
      <c r="G102" s="72"/>
      <c r="H102" s="72"/>
      <c r="I102" s="72">
        <v>400000</v>
      </c>
      <c r="J102" s="72">
        <v>400000</v>
      </c>
      <c r="K102" s="72"/>
      <c r="L102" s="72"/>
      <c r="M102" s="72"/>
    </row>
    <row r="103" spans="1:13" ht="25.5" outlineLevel="7">
      <c r="A103" s="125" t="s">
        <v>45</v>
      </c>
      <c r="B103" s="126"/>
      <c r="C103" s="127"/>
      <c r="D103" s="126"/>
      <c r="E103" s="126"/>
      <c r="F103" s="61">
        <f>SUM(F104:F108)</f>
        <v>674600</v>
      </c>
      <c r="G103" s="61">
        <f t="shared" ref="G103:M103" si="46">SUM(G104:G108)</f>
        <v>248966.8</v>
      </c>
      <c r="H103" s="61">
        <f t="shared" si="46"/>
        <v>396950</v>
      </c>
      <c r="I103" s="61">
        <f t="shared" si="46"/>
        <v>507000</v>
      </c>
      <c r="J103" s="61">
        <f t="shared" si="46"/>
        <v>507000</v>
      </c>
      <c r="K103" s="61">
        <f>SUM(K104:K108)</f>
        <v>584000</v>
      </c>
      <c r="L103" s="61">
        <f t="shared" si="46"/>
        <v>584000</v>
      </c>
      <c r="M103" s="61">
        <f t="shared" si="46"/>
        <v>584000</v>
      </c>
    </row>
    <row r="104" spans="1:13" ht="51" outlineLevel="7">
      <c r="A104" s="123" t="s">
        <v>129</v>
      </c>
      <c r="B104" s="124" t="s">
        <v>31</v>
      </c>
      <c r="C104" s="30" t="s">
        <v>56</v>
      </c>
      <c r="D104" s="124" t="s">
        <v>22</v>
      </c>
      <c r="E104" s="124" t="s">
        <v>46</v>
      </c>
      <c r="F104" s="65"/>
      <c r="G104" s="65"/>
      <c r="H104" s="65"/>
      <c r="I104" s="65"/>
      <c r="J104" s="65"/>
      <c r="K104" s="65"/>
      <c r="L104" s="65"/>
      <c r="M104" s="65"/>
    </row>
    <row r="105" spans="1:13" ht="51" outlineLevel="7">
      <c r="A105" s="123" t="s">
        <v>130</v>
      </c>
      <c r="B105" s="124" t="s">
        <v>31</v>
      </c>
      <c r="C105" s="30" t="s">
        <v>57</v>
      </c>
      <c r="D105" s="124" t="s">
        <v>22</v>
      </c>
      <c r="E105" s="124" t="s">
        <v>46</v>
      </c>
      <c r="F105" s="65"/>
      <c r="G105" s="65"/>
      <c r="H105" s="65"/>
      <c r="I105" s="65"/>
      <c r="J105" s="65"/>
      <c r="K105" s="65"/>
      <c r="L105" s="65"/>
      <c r="M105" s="65"/>
    </row>
    <row r="106" spans="1:13" ht="51" outlineLevel="7">
      <c r="A106" s="123" t="s">
        <v>131</v>
      </c>
      <c r="B106" s="124" t="s">
        <v>31</v>
      </c>
      <c r="C106" s="30" t="s">
        <v>58</v>
      </c>
      <c r="D106" s="124" t="s">
        <v>22</v>
      </c>
      <c r="E106" s="124" t="s">
        <v>46</v>
      </c>
      <c r="F106" s="74">
        <v>470600</v>
      </c>
      <c r="G106" s="65">
        <v>146966.79999999999</v>
      </c>
      <c r="H106" s="65">
        <v>216750</v>
      </c>
      <c r="I106" s="65">
        <v>364000</v>
      </c>
      <c r="J106" s="65">
        <v>364000</v>
      </c>
      <c r="K106" s="65">
        <v>364000</v>
      </c>
      <c r="L106" s="65">
        <v>364000</v>
      </c>
      <c r="M106" s="65">
        <v>364000</v>
      </c>
    </row>
    <row r="107" spans="1:13" ht="51" outlineLevel="7">
      <c r="A107" s="123" t="s">
        <v>132</v>
      </c>
      <c r="B107" s="124" t="s">
        <v>31</v>
      </c>
      <c r="C107" s="30" t="s">
        <v>59</v>
      </c>
      <c r="D107" s="124" t="s">
        <v>22</v>
      </c>
      <c r="E107" s="124" t="s">
        <v>46</v>
      </c>
      <c r="F107" s="74">
        <v>204000</v>
      </c>
      <c r="G107" s="65">
        <v>102000</v>
      </c>
      <c r="H107" s="65">
        <v>180200</v>
      </c>
      <c r="I107" s="65">
        <v>143000</v>
      </c>
      <c r="J107" s="65">
        <v>143000</v>
      </c>
      <c r="K107" s="74">
        <v>220000</v>
      </c>
      <c r="L107" s="74">
        <v>220000</v>
      </c>
      <c r="M107" s="74">
        <v>220000</v>
      </c>
    </row>
    <row r="108" spans="1:13" ht="51" outlineLevel="7">
      <c r="A108" s="123" t="s">
        <v>133</v>
      </c>
      <c r="B108" s="124" t="s">
        <v>31</v>
      </c>
      <c r="C108" s="30" t="s">
        <v>60</v>
      </c>
      <c r="D108" s="124" t="s">
        <v>22</v>
      </c>
      <c r="E108" s="124" t="s">
        <v>46</v>
      </c>
      <c r="F108" s="65"/>
      <c r="G108" s="65"/>
      <c r="H108" s="65"/>
      <c r="I108" s="65"/>
      <c r="J108" s="65"/>
      <c r="K108" s="65"/>
      <c r="L108" s="65"/>
      <c r="M108" s="65"/>
    </row>
    <row r="109" spans="1:13" ht="26.25" customHeight="1" outlineLevel="7">
      <c r="A109" s="140" t="s">
        <v>136</v>
      </c>
      <c r="B109" s="255" t="s">
        <v>154</v>
      </c>
      <c r="C109" s="256"/>
      <c r="D109" s="256"/>
      <c r="E109" s="257"/>
      <c r="F109" s="105">
        <f>F110+F126+F130+F134+F139+F147+F150+F161+F166+F176+F178+F194</f>
        <v>1975072.48</v>
      </c>
      <c r="G109" s="105">
        <f t="shared" ref="G109:M109" si="47">G110+G126+G130+G134+G139+G147+G150+G161+G166+G176+G178+G194</f>
        <v>748408.1100000001</v>
      </c>
      <c r="H109" s="105">
        <f t="shared" si="47"/>
        <v>4474907</v>
      </c>
      <c r="I109" s="105">
        <f t="shared" si="47"/>
        <v>4601356</v>
      </c>
      <c r="J109" s="105">
        <f t="shared" si="47"/>
        <v>2997184</v>
      </c>
      <c r="K109" s="105">
        <f t="shared" si="47"/>
        <v>1391289</v>
      </c>
      <c r="L109" s="105">
        <f t="shared" si="47"/>
        <v>1232794</v>
      </c>
      <c r="M109" s="105">
        <f t="shared" si="47"/>
        <v>1155554</v>
      </c>
    </row>
    <row r="110" spans="1:13" ht="25.5" outlineLevel="7">
      <c r="A110" s="133" t="s">
        <v>45</v>
      </c>
      <c r="B110" s="141"/>
      <c r="C110" s="142"/>
      <c r="D110" s="141"/>
      <c r="E110" s="141"/>
      <c r="F110" s="61">
        <f t="shared" ref="F110" si="48">F111+F117+F122</f>
        <v>20000</v>
      </c>
      <c r="G110" s="61">
        <f t="shared" ref="G110:M110" si="49">G111+G117+G122</f>
        <v>20000</v>
      </c>
      <c r="H110" s="61">
        <f t="shared" si="49"/>
        <v>260000</v>
      </c>
      <c r="I110" s="61">
        <f t="shared" si="49"/>
        <v>190000</v>
      </c>
      <c r="J110" s="61">
        <f t="shared" si="49"/>
        <v>200000</v>
      </c>
      <c r="K110" s="61">
        <f t="shared" si="49"/>
        <v>260000</v>
      </c>
      <c r="L110" s="61">
        <f t="shared" si="49"/>
        <v>190000</v>
      </c>
      <c r="M110" s="61">
        <f t="shared" si="49"/>
        <v>200000</v>
      </c>
    </row>
    <row r="111" spans="1:13" ht="51" outlineLevel="7">
      <c r="A111" s="108" t="s">
        <v>120</v>
      </c>
      <c r="B111" s="33" t="s">
        <v>33</v>
      </c>
      <c r="C111" s="39" t="s">
        <v>121</v>
      </c>
      <c r="D111" s="33" t="s">
        <v>22</v>
      </c>
      <c r="E111" s="33" t="s">
        <v>46</v>
      </c>
      <c r="F111" s="77">
        <f t="shared" ref="F111" si="50">SUM(F112:F116)</f>
        <v>0</v>
      </c>
      <c r="G111" s="77">
        <f t="shared" ref="G111:M111" si="51">SUM(G112:G116)</f>
        <v>0</v>
      </c>
      <c r="H111" s="77">
        <f t="shared" si="51"/>
        <v>0</v>
      </c>
      <c r="I111" s="77">
        <f t="shared" si="51"/>
        <v>0</v>
      </c>
      <c r="J111" s="77">
        <f t="shared" si="51"/>
        <v>0</v>
      </c>
      <c r="K111" s="77">
        <f t="shared" si="51"/>
        <v>0</v>
      </c>
      <c r="L111" s="77">
        <f t="shared" si="51"/>
        <v>0</v>
      </c>
      <c r="M111" s="77">
        <f t="shared" si="51"/>
        <v>0</v>
      </c>
    </row>
    <row r="112" spans="1:13" outlineLevel="7">
      <c r="A112" s="10" t="s">
        <v>47</v>
      </c>
      <c r="B112" s="27"/>
      <c r="C112" s="45"/>
      <c r="D112" s="27"/>
      <c r="E112" s="27"/>
      <c r="F112" s="74"/>
      <c r="G112" s="74"/>
      <c r="H112" s="74"/>
      <c r="I112" s="74"/>
      <c r="J112" s="74"/>
      <c r="K112" s="74"/>
      <c r="L112" s="74"/>
      <c r="M112" s="74"/>
    </row>
    <row r="113" spans="1:13" outlineLevel="7">
      <c r="A113" s="10" t="s">
        <v>90</v>
      </c>
      <c r="B113" s="27"/>
      <c r="C113" s="45"/>
      <c r="D113" s="27"/>
      <c r="E113" s="27"/>
      <c r="F113" s="74"/>
      <c r="G113" s="74"/>
      <c r="H113" s="74"/>
      <c r="I113" s="74"/>
      <c r="J113" s="74"/>
      <c r="K113" s="74"/>
      <c r="L113" s="74"/>
      <c r="M113" s="74"/>
    </row>
    <row r="114" spans="1:13" outlineLevel="7">
      <c r="A114" s="10" t="s">
        <v>89</v>
      </c>
      <c r="B114" s="27"/>
      <c r="C114" s="45"/>
      <c r="D114" s="27"/>
      <c r="E114" s="27"/>
      <c r="F114" s="74"/>
      <c r="G114" s="74"/>
      <c r="H114" s="74"/>
      <c r="I114" s="74"/>
      <c r="J114" s="74"/>
      <c r="K114" s="74"/>
      <c r="L114" s="74"/>
      <c r="M114" s="74"/>
    </row>
    <row r="115" spans="1:13" outlineLevel="7">
      <c r="A115" s="10"/>
      <c r="B115" s="27"/>
      <c r="C115" s="56"/>
      <c r="D115" s="27"/>
      <c r="E115" s="27"/>
      <c r="F115" s="76"/>
      <c r="G115" s="76"/>
      <c r="H115" s="76"/>
      <c r="I115" s="76"/>
      <c r="J115" s="76"/>
      <c r="K115" s="76"/>
      <c r="L115" s="76"/>
      <c r="M115" s="76"/>
    </row>
    <row r="116" spans="1:13" outlineLevel="7">
      <c r="A116" s="106"/>
      <c r="B116" s="33"/>
      <c r="C116" s="107"/>
      <c r="D116" s="33"/>
      <c r="E116" s="33"/>
      <c r="F116" s="77"/>
      <c r="G116" s="77"/>
      <c r="H116" s="77"/>
      <c r="I116" s="77"/>
      <c r="J116" s="77"/>
      <c r="K116" s="77"/>
      <c r="L116" s="77"/>
      <c r="M116" s="77"/>
    </row>
    <row r="117" spans="1:13" ht="38.25" outlineLevel="7">
      <c r="A117" s="110" t="s">
        <v>134</v>
      </c>
      <c r="B117" s="33" t="s">
        <v>34</v>
      </c>
      <c r="C117" s="39" t="s">
        <v>119</v>
      </c>
      <c r="D117" s="33" t="s">
        <v>22</v>
      </c>
      <c r="E117" s="33" t="s">
        <v>46</v>
      </c>
      <c r="F117" s="77">
        <f t="shared" ref="F117" si="52">SUM(F118:F121)</f>
        <v>0</v>
      </c>
      <c r="G117" s="77">
        <f t="shared" ref="G117:M117" si="53">SUM(G118:G121)</f>
        <v>0</v>
      </c>
      <c r="H117" s="77">
        <f t="shared" si="53"/>
        <v>160000</v>
      </c>
      <c r="I117" s="77">
        <f t="shared" si="53"/>
        <v>90000</v>
      </c>
      <c r="J117" s="77">
        <f t="shared" si="53"/>
        <v>100000</v>
      </c>
      <c r="K117" s="77">
        <f t="shared" si="53"/>
        <v>160000</v>
      </c>
      <c r="L117" s="77">
        <f t="shared" si="53"/>
        <v>90000</v>
      </c>
      <c r="M117" s="77">
        <f t="shared" si="53"/>
        <v>100000</v>
      </c>
    </row>
    <row r="118" spans="1:13" outlineLevel="7">
      <c r="A118" s="85" t="s">
        <v>234</v>
      </c>
      <c r="B118" s="86"/>
      <c r="C118" s="45"/>
      <c r="D118" s="87"/>
      <c r="E118" s="27"/>
      <c r="F118" s="74">
        <v>0</v>
      </c>
      <c r="G118" s="74"/>
      <c r="H118" s="74"/>
      <c r="I118" s="74"/>
      <c r="J118" s="74"/>
      <c r="K118" s="74"/>
      <c r="L118" s="74"/>
      <c r="M118" s="74"/>
    </row>
    <row r="119" spans="1:13" outlineLevel="7">
      <c r="A119" s="85" t="s">
        <v>241</v>
      </c>
      <c r="B119" s="86"/>
      <c r="C119" s="45"/>
      <c r="D119" s="87"/>
      <c r="E119" s="27"/>
      <c r="F119" s="74"/>
      <c r="G119" s="74"/>
      <c r="H119" s="74">
        <v>160000</v>
      </c>
      <c r="I119" s="74"/>
      <c r="J119" s="74"/>
      <c r="K119" s="74">
        <v>160000</v>
      </c>
      <c r="L119" s="74"/>
      <c r="M119" s="74"/>
    </row>
    <row r="120" spans="1:13" outlineLevel="7">
      <c r="A120" s="85" t="s">
        <v>242</v>
      </c>
      <c r="B120" s="86"/>
      <c r="C120" s="45"/>
      <c r="D120" s="87"/>
      <c r="E120" s="27"/>
      <c r="F120" s="74"/>
      <c r="G120" s="74"/>
      <c r="H120" s="74"/>
      <c r="I120" s="74">
        <v>90000</v>
      </c>
      <c r="J120" s="74"/>
      <c r="K120" s="74"/>
      <c r="L120" s="74">
        <v>90000</v>
      </c>
      <c r="M120" s="74"/>
    </row>
    <row r="121" spans="1:13" outlineLevel="7">
      <c r="A121" s="85" t="s">
        <v>243</v>
      </c>
      <c r="B121" s="47"/>
      <c r="C121" s="109"/>
      <c r="D121" s="36"/>
      <c r="E121" s="31"/>
      <c r="F121" s="77"/>
      <c r="G121" s="77"/>
      <c r="H121" s="77"/>
      <c r="I121" s="77"/>
      <c r="J121" s="74">
        <v>100000</v>
      </c>
      <c r="K121" s="77"/>
      <c r="L121" s="77"/>
      <c r="M121" s="74">
        <v>100000</v>
      </c>
    </row>
    <row r="122" spans="1:13" ht="29.25" customHeight="1" outlineLevel="7">
      <c r="A122" s="111" t="s">
        <v>126</v>
      </c>
      <c r="B122" s="99" t="s">
        <v>36</v>
      </c>
      <c r="C122" s="39" t="s">
        <v>127</v>
      </c>
      <c r="D122" s="100" t="s">
        <v>22</v>
      </c>
      <c r="E122" s="33" t="s">
        <v>46</v>
      </c>
      <c r="F122" s="77">
        <f t="shared" ref="F122" si="54">SUM(F123:F125)</f>
        <v>20000</v>
      </c>
      <c r="G122" s="77">
        <f t="shared" ref="G122:M122" si="55">SUM(G123:G125)</f>
        <v>20000</v>
      </c>
      <c r="H122" s="77">
        <f t="shared" si="55"/>
        <v>100000</v>
      </c>
      <c r="I122" s="77">
        <f t="shared" si="55"/>
        <v>100000</v>
      </c>
      <c r="J122" s="77">
        <f t="shared" si="55"/>
        <v>100000</v>
      </c>
      <c r="K122" s="77">
        <f t="shared" si="55"/>
        <v>100000</v>
      </c>
      <c r="L122" s="77">
        <f t="shared" si="55"/>
        <v>100000</v>
      </c>
      <c r="M122" s="77">
        <f t="shared" si="55"/>
        <v>100000</v>
      </c>
    </row>
    <row r="123" spans="1:13" outlineLevel="7">
      <c r="A123" s="174" t="s">
        <v>185</v>
      </c>
      <c r="B123" s="87"/>
      <c r="C123" s="45"/>
      <c r="D123" s="27"/>
      <c r="E123" s="27"/>
      <c r="F123" s="65">
        <v>20000</v>
      </c>
      <c r="G123" s="65">
        <v>20000</v>
      </c>
      <c r="H123" s="65">
        <v>100000</v>
      </c>
      <c r="I123" s="65">
        <v>100000</v>
      </c>
      <c r="J123" s="65">
        <v>100000</v>
      </c>
      <c r="K123" s="65">
        <v>100000</v>
      </c>
      <c r="L123" s="65">
        <v>100000</v>
      </c>
      <c r="M123" s="65">
        <v>100000</v>
      </c>
    </row>
    <row r="124" spans="1:13" outlineLevel="3">
      <c r="A124" s="35"/>
      <c r="B124" s="36"/>
      <c r="C124" s="37"/>
      <c r="D124" s="31"/>
      <c r="E124" s="32"/>
      <c r="F124" s="70"/>
      <c r="G124" s="70"/>
      <c r="H124" s="70"/>
      <c r="I124" s="70"/>
      <c r="J124" s="70"/>
      <c r="K124" s="70"/>
      <c r="L124" s="70"/>
      <c r="M124" s="70"/>
    </row>
    <row r="125" spans="1:13" outlineLevel="4">
      <c r="A125" s="38"/>
      <c r="B125" s="31"/>
      <c r="C125" s="22"/>
      <c r="D125" s="31"/>
      <c r="E125" s="32"/>
      <c r="F125" s="70"/>
      <c r="G125" s="70"/>
      <c r="H125" s="70"/>
      <c r="I125" s="70"/>
      <c r="J125" s="70"/>
      <c r="K125" s="70"/>
      <c r="L125" s="70"/>
      <c r="M125" s="70"/>
    </row>
    <row r="126" spans="1:13" ht="25.5" outlineLevel="4">
      <c r="A126" s="7" t="s">
        <v>66</v>
      </c>
      <c r="B126" s="141"/>
      <c r="C126" s="18" t="s">
        <v>137</v>
      </c>
      <c r="D126" s="17" t="s">
        <v>22</v>
      </c>
      <c r="E126" s="17" t="s">
        <v>54</v>
      </c>
      <c r="F126" s="61">
        <f t="shared" ref="F126" si="56">SUM(F127:F129)</f>
        <v>40000</v>
      </c>
      <c r="G126" s="61">
        <f t="shared" ref="G126:M126" si="57">SUM(G127:G129)</f>
        <v>0</v>
      </c>
      <c r="H126" s="61">
        <f t="shared" si="57"/>
        <v>0</v>
      </c>
      <c r="I126" s="61">
        <f t="shared" si="57"/>
        <v>0</v>
      </c>
      <c r="J126" s="61">
        <f t="shared" si="57"/>
        <v>0</v>
      </c>
      <c r="K126" s="61">
        <f t="shared" si="57"/>
        <v>0</v>
      </c>
      <c r="L126" s="61">
        <f t="shared" si="57"/>
        <v>0</v>
      </c>
      <c r="M126" s="61">
        <f t="shared" si="57"/>
        <v>0</v>
      </c>
    </row>
    <row r="127" spans="1:13" outlineLevel="4">
      <c r="A127" s="5" t="s">
        <v>228</v>
      </c>
      <c r="B127" s="34" t="s">
        <v>36</v>
      </c>
      <c r="C127" s="20" t="s">
        <v>137</v>
      </c>
      <c r="D127" s="34" t="s">
        <v>22</v>
      </c>
      <c r="E127" s="34" t="s">
        <v>54</v>
      </c>
      <c r="F127" s="72"/>
      <c r="G127" s="72"/>
      <c r="H127" s="72"/>
      <c r="I127" s="72"/>
      <c r="J127" s="72"/>
      <c r="K127" s="72"/>
      <c r="L127" s="72"/>
      <c r="M127" s="72"/>
    </row>
    <row r="128" spans="1:13" outlineLevel="4">
      <c r="A128" s="4"/>
      <c r="B128" s="19" t="s">
        <v>33</v>
      </c>
      <c r="C128" s="20" t="s">
        <v>137</v>
      </c>
      <c r="D128" s="34" t="s">
        <v>22</v>
      </c>
      <c r="E128" s="34" t="s">
        <v>54</v>
      </c>
      <c r="F128" s="64"/>
      <c r="G128" s="64"/>
      <c r="H128" s="64"/>
      <c r="I128" s="64"/>
      <c r="J128" s="64"/>
      <c r="K128" s="64"/>
      <c r="L128" s="64"/>
      <c r="M128" s="64"/>
    </row>
    <row r="129" spans="1:13" ht="25.5" outlineLevel="7">
      <c r="A129" s="8" t="s">
        <v>176</v>
      </c>
      <c r="B129" s="19" t="s">
        <v>34</v>
      </c>
      <c r="C129" s="20" t="s">
        <v>137</v>
      </c>
      <c r="D129" s="34" t="s">
        <v>22</v>
      </c>
      <c r="E129" s="34" t="s">
        <v>54</v>
      </c>
      <c r="F129" s="63">
        <v>40000</v>
      </c>
      <c r="G129" s="64"/>
      <c r="H129" s="62"/>
      <c r="I129" s="63"/>
      <c r="J129" s="63"/>
      <c r="K129" s="63"/>
      <c r="L129" s="63"/>
      <c r="M129" s="63"/>
    </row>
    <row r="130" spans="1:13" ht="25.5" outlineLevel="7">
      <c r="A130" s="7" t="s">
        <v>139</v>
      </c>
      <c r="B130" s="113" t="s">
        <v>33</v>
      </c>
      <c r="C130" s="117" t="s">
        <v>140</v>
      </c>
      <c r="D130" s="115" t="s">
        <v>22</v>
      </c>
      <c r="E130" s="17" t="s">
        <v>54</v>
      </c>
      <c r="F130" s="61">
        <f t="shared" ref="F130" si="58">SUM(F131:F133)</f>
        <v>0</v>
      </c>
      <c r="G130" s="61">
        <f t="shared" ref="G130:M130" si="59">SUM(G131:G133)</f>
        <v>0</v>
      </c>
      <c r="H130" s="61">
        <f t="shared" si="59"/>
        <v>0</v>
      </c>
      <c r="I130" s="61">
        <f t="shared" si="59"/>
        <v>0</v>
      </c>
      <c r="J130" s="61">
        <f t="shared" si="59"/>
        <v>0</v>
      </c>
      <c r="K130" s="61">
        <f t="shared" si="59"/>
        <v>0</v>
      </c>
      <c r="L130" s="61">
        <f t="shared" si="59"/>
        <v>0</v>
      </c>
      <c r="M130" s="61">
        <f t="shared" si="59"/>
        <v>0</v>
      </c>
    </row>
    <row r="131" spans="1:13" outlineLevel="7">
      <c r="A131" s="8"/>
      <c r="B131" s="114"/>
      <c r="C131" s="118"/>
      <c r="D131" s="97"/>
      <c r="E131" s="23"/>
      <c r="F131" s="66"/>
      <c r="G131" s="65"/>
      <c r="H131" s="66"/>
      <c r="I131" s="66"/>
      <c r="J131" s="66"/>
      <c r="K131" s="66"/>
      <c r="L131" s="66"/>
      <c r="M131" s="66"/>
    </row>
    <row r="132" spans="1:13" outlineLevel="7">
      <c r="A132" s="8"/>
      <c r="B132" s="114"/>
      <c r="C132" s="118"/>
      <c r="D132" s="97"/>
      <c r="E132" s="23"/>
      <c r="F132" s="66"/>
      <c r="G132" s="65"/>
      <c r="H132" s="66"/>
      <c r="I132" s="66"/>
      <c r="J132" s="66"/>
      <c r="K132" s="66"/>
      <c r="L132" s="66"/>
      <c r="M132" s="66"/>
    </row>
    <row r="133" spans="1:13" outlineLevel="7">
      <c r="A133" s="8"/>
      <c r="B133" s="114"/>
      <c r="C133" s="118"/>
      <c r="D133" s="97"/>
      <c r="E133" s="23"/>
      <c r="F133" s="66"/>
      <c r="G133" s="65"/>
      <c r="H133" s="66"/>
      <c r="I133" s="66"/>
      <c r="J133" s="66"/>
      <c r="K133" s="66"/>
      <c r="L133" s="66"/>
      <c r="M133" s="66"/>
    </row>
    <row r="134" spans="1:13" outlineLevel="7">
      <c r="A134" s="7" t="s">
        <v>35</v>
      </c>
      <c r="B134" s="113" t="s">
        <v>34</v>
      </c>
      <c r="C134" s="117" t="s">
        <v>141</v>
      </c>
      <c r="D134" s="115" t="s">
        <v>22</v>
      </c>
      <c r="E134" s="17" t="s">
        <v>54</v>
      </c>
      <c r="F134" s="61">
        <f t="shared" ref="F134" si="60">SUM(F135:F138)</f>
        <v>0</v>
      </c>
      <c r="G134" s="61">
        <f t="shared" ref="G134:M134" si="61">SUM(G135:G138)</f>
        <v>0</v>
      </c>
      <c r="H134" s="61">
        <f t="shared" si="61"/>
        <v>0</v>
      </c>
      <c r="I134" s="61">
        <f t="shared" si="61"/>
        <v>0</v>
      </c>
      <c r="J134" s="61">
        <f t="shared" si="61"/>
        <v>0</v>
      </c>
      <c r="K134" s="61">
        <f t="shared" si="61"/>
        <v>0</v>
      </c>
      <c r="L134" s="61">
        <f t="shared" si="61"/>
        <v>0</v>
      </c>
      <c r="M134" s="61">
        <f t="shared" si="61"/>
        <v>0</v>
      </c>
    </row>
    <row r="135" spans="1:13" outlineLevel="7">
      <c r="A135" s="8"/>
      <c r="B135" s="114"/>
      <c r="C135" s="118"/>
      <c r="D135" s="97"/>
      <c r="E135" s="23"/>
      <c r="F135" s="66"/>
      <c r="G135" s="65"/>
      <c r="H135" s="66"/>
      <c r="I135" s="66"/>
      <c r="J135" s="66"/>
      <c r="K135" s="66"/>
      <c r="L135" s="66"/>
      <c r="M135" s="66"/>
    </row>
    <row r="136" spans="1:13" outlineLevel="7">
      <c r="A136" s="8"/>
      <c r="B136" s="114"/>
      <c r="C136" s="118"/>
      <c r="D136" s="97"/>
      <c r="E136" s="23"/>
      <c r="F136" s="66"/>
      <c r="G136" s="65"/>
      <c r="H136" s="66"/>
      <c r="I136" s="66"/>
      <c r="J136" s="66"/>
      <c r="K136" s="66"/>
      <c r="L136" s="66"/>
      <c r="M136" s="66"/>
    </row>
    <row r="137" spans="1:13" outlineLevel="7">
      <c r="A137" s="8"/>
      <c r="B137" s="114"/>
      <c r="C137" s="118"/>
      <c r="D137" s="97"/>
      <c r="E137" s="23"/>
      <c r="F137" s="66"/>
      <c r="G137" s="65"/>
      <c r="H137" s="66"/>
      <c r="I137" s="66"/>
      <c r="J137" s="66"/>
      <c r="K137" s="66"/>
      <c r="L137" s="66"/>
      <c r="M137" s="66"/>
    </row>
    <row r="138" spans="1:13" outlineLevel="7">
      <c r="A138" s="8"/>
      <c r="B138" s="114"/>
      <c r="C138" s="118"/>
      <c r="D138" s="97"/>
      <c r="E138" s="23"/>
      <c r="F138" s="66"/>
      <c r="G138" s="65"/>
      <c r="H138" s="66"/>
      <c r="I138" s="66"/>
      <c r="J138" s="66"/>
      <c r="K138" s="66"/>
      <c r="L138" s="66"/>
      <c r="M138" s="66"/>
    </row>
    <row r="139" spans="1:13" outlineLevel="7">
      <c r="A139" s="7" t="s">
        <v>64</v>
      </c>
      <c r="B139" s="17" t="s">
        <v>36</v>
      </c>
      <c r="C139" s="21" t="s">
        <v>138</v>
      </c>
      <c r="D139" s="17" t="s">
        <v>22</v>
      </c>
      <c r="E139" s="17" t="s">
        <v>54</v>
      </c>
      <c r="F139" s="61">
        <f>SUM(F140:F145)</f>
        <v>33000</v>
      </c>
      <c r="G139" s="61">
        <f t="shared" ref="G139:J139" si="62">SUM(G140:G145)</f>
        <v>29995.31</v>
      </c>
      <c r="H139" s="61">
        <f t="shared" si="62"/>
        <v>200000</v>
      </c>
      <c r="I139" s="61">
        <f t="shared" si="62"/>
        <v>177000</v>
      </c>
      <c r="J139" s="61">
        <f t="shared" si="62"/>
        <v>177000</v>
      </c>
      <c r="K139" s="61">
        <f>SUM(K140:K145)</f>
        <v>64000</v>
      </c>
      <c r="L139" s="61">
        <f t="shared" ref="L139:M139" si="63">SUM(L140:L145)</f>
        <v>64000</v>
      </c>
      <c r="M139" s="61">
        <f t="shared" si="63"/>
        <v>64000</v>
      </c>
    </row>
    <row r="140" spans="1:13" outlineLevel="7">
      <c r="A140" s="80" t="s">
        <v>77</v>
      </c>
      <c r="B140" s="81"/>
      <c r="C140" s="82"/>
      <c r="D140" s="81"/>
      <c r="E140" s="81"/>
      <c r="F140" s="73">
        <v>29995.31</v>
      </c>
      <c r="G140" s="91">
        <v>29995.31</v>
      </c>
      <c r="H140" s="73">
        <v>120000</v>
      </c>
      <c r="I140" s="73">
        <v>120000</v>
      </c>
      <c r="J140" s="73">
        <v>120000</v>
      </c>
      <c r="K140" s="73">
        <v>40000</v>
      </c>
      <c r="L140" s="73">
        <v>40000</v>
      </c>
      <c r="M140" s="73">
        <v>40000</v>
      </c>
    </row>
    <row r="141" spans="1:13" outlineLevel="7">
      <c r="A141" s="80" t="s">
        <v>171</v>
      </c>
      <c r="B141" s="81"/>
      <c r="C141" s="82"/>
      <c r="D141" s="81"/>
      <c r="E141" s="81"/>
      <c r="F141" s="73"/>
      <c r="G141" s="91"/>
      <c r="H141" s="73"/>
      <c r="I141" s="73"/>
      <c r="J141" s="73"/>
      <c r="K141" s="73"/>
      <c r="L141" s="73"/>
      <c r="M141" s="73"/>
    </row>
    <row r="142" spans="1:13" outlineLevel="7">
      <c r="A142" s="80" t="s">
        <v>177</v>
      </c>
      <c r="B142" s="81"/>
      <c r="C142" s="82"/>
      <c r="D142" s="81"/>
      <c r="E142" s="81"/>
      <c r="F142" s="73"/>
      <c r="G142" s="91"/>
      <c r="H142" s="73">
        <v>5000</v>
      </c>
      <c r="I142" s="73">
        <v>5000</v>
      </c>
      <c r="J142" s="73">
        <v>5000</v>
      </c>
      <c r="K142" s="73">
        <v>2000</v>
      </c>
      <c r="L142" s="73">
        <v>2000</v>
      </c>
      <c r="M142" s="73">
        <v>2000</v>
      </c>
    </row>
    <row r="143" spans="1:13" outlineLevel="7">
      <c r="A143" s="44" t="s">
        <v>182</v>
      </c>
      <c r="B143" s="41"/>
      <c r="C143" s="42"/>
      <c r="D143" s="43"/>
      <c r="E143" s="40"/>
      <c r="F143" s="73"/>
      <c r="G143" s="91"/>
      <c r="H143" s="73">
        <v>5000</v>
      </c>
      <c r="I143" s="73">
        <v>2000</v>
      </c>
      <c r="J143" s="73">
        <v>2000</v>
      </c>
      <c r="K143" s="73">
        <v>2000</v>
      </c>
      <c r="L143" s="73">
        <v>2000</v>
      </c>
      <c r="M143" s="73">
        <v>2000</v>
      </c>
    </row>
    <row r="144" spans="1:13" outlineLevel="7">
      <c r="A144" s="44" t="s">
        <v>178</v>
      </c>
      <c r="B144" s="41"/>
      <c r="C144" s="42"/>
      <c r="D144" s="43"/>
      <c r="E144" s="40"/>
      <c r="F144" s="73">
        <f>8000-4995.31</f>
        <v>3004.6899999999996</v>
      </c>
      <c r="G144" s="91"/>
      <c r="H144" s="73"/>
      <c r="I144" s="73"/>
      <c r="J144" s="73"/>
      <c r="K144" s="73"/>
      <c r="L144" s="73"/>
      <c r="M144" s="73"/>
    </row>
    <row r="145" spans="1:13" ht="25.5" outlineLevel="7">
      <c r="A145" s="8" t="s">
        <v>244</v>
      </c>
      <c r="B145" s="114"/>
      <c r="C145" s="118"/>
      <c r="D145" s="97"/>
      <c r="E145" s="23"/>
      <c r="F145" s="66"/>
      <c r="G145" s="65"/>
      <c r="H145" s="66">
        <v>70000</v>
      </c>
      <c r="I145" s="66">
        <v>50000</v>
      </c>
      <c r="J145" s="66">
        <v>50000</v>
      </c>
      <c r="K145" s="66">
        <v>20000</v>
      </c>
      <c r="L145" s="66">
        <v>20000</v>
      </c>
      <c r="M145" s="66">
        <v>20000</v>
      </c>
    </row>
    <row r="146" spans="1:13" outlineLevel="7">
      <c r="A146" s="8"/>
      <c r="B146" s="114"/>
      <c r="C146" s="118"/>
      <c r="D146" s="97"/>
      <c r="E146" s="23"/>
      <c r="F146" s="66"/>
      <c r="G146" s="65"/>
      <c r="H146" s="66"/>
      <c r="I146" s="66"/>
      <c r="J146" s="66"/>
      <c r="K146" s="66"/>
      <c r="L146" s="66"/>
      <c r="M146" s="66"/>
    </row>
    <row r="147" spans="1:13" ht="25.5" outlineLevel="7">
      <c r="A147" s="195" t="s">
        <v>229</v>
      </c>
      <c r="B147" s="113" t="s">
        <v>36</v>
      </c>
      <c r="C147" s="21" t="s">
        <v>230</v>
      </c>
      <c r="D147" s="17" t="s">
        <v>22</v>
      </c>
      <c r="E147" s="17"/>
      <c r="F147" s="71">
        <f t="shared" ref="F147:M147" si="64">F148</f>
        <v>300000</v>
      </c>
      <c r="G147" s="71">
        <f t="shared" si="64"/>
        <v>150000</v>
      </c>
      <c r="H147" s="71">
        <f t="shared" si="64"/>
        <v>320000</v>
      </c>
      <c r="I147" s="71">
        <f t="shared" si="64"/>
        <v>240000</v>
      </c>
      <c r="J147" s="71">
        <f t="shared" si="64"/>
        <v>160000</v>
      </c>
      <c r="K147" s="71">
        <f t="shared" si="64"/>
        <v>150000</v>
      </c>
      <c r="L147" s="71">
        <f t="shared" si="64"/>
        <v>150000</v>
      </c>
      <c r="M147" s="71">
        <f t="shared" si="64"/>
        <v>150000</v>
      </c>
    </row>
    <row r="148" spans="1:13" outlineLevel="7">
      <c r="A148" s="186"/>
      <c r="B148" s="196" t="s">
        <v>36</v>
      </c>
      <c r="C148" s="30" t="s">
        <v>230</v>
      </c>
      <c r="D148" s="23" t="s">
        <v>22</v>
      </c>
      <c r="E148" s="23" t="s">
        <v>46</v>
      </c>
      <c r="F148" s="66">
        <v>300000</v>
      </c>
      <c r="G148" s="65">
        <v>150000</v>
      </c>
      <c r="H148" s="66">
        <v>320000</v>
      </c>
      <c r="I148" s="66">
        <v>240000</v>
      </c>
      <c r="J148" s="66">
        <v>160000</v>
      </c>
      <c r="K148" s="66">
        <v>150000</v>
      </c>
      <c r="L148" s="66">
        <v>150000</v>
      </c>
      <c r="M148" s="66">
        <v>150000</v>
      </c>
    </row>
    <row r="149" spans="1:13" outlineLevel="7">
      <c r="A149" s="186"/>
      <c r="B149" s="196"/>
      <c r="C149" s="30"/>
      <c r="D149" s="23"/>
      <c r="E149" s="23"/>
      <c r="F149" s="66"/>
      <c r="G149" s="65"/>
      <c r="H149" s="66"/>
      <c r="I149" s="66"/>
      <c r="J149" s="66"/>
      <c r="K149" s="66"/>
      <c r="L149" s="66"/>
      <c r="M149" s="66"/>
    </row>
    <row r="150" spans="1:13" outlineLevel="7">
      <c r="A150" s="7" t="s">
        <v>143</v>
      </c>
      <c r="B150" s="17" t="s">
        <v>36</v>
      </c>
      <c r="C150" s="39" t="s">
        <v>142</v>
      </c>
      <c r="D150" s="17"/>
      <c r="E150" s="17"/>
      <c r="F150" s="61">
        <f>F151+F160</f>
        <v>660586</v>
      </c>
      <c r="G150" s="61">
        <f t="shared" ref="G150:J150" si="65">G151+G160</f>
        <v>443942.01</v>
      </c>
      <c r="H150" s="61">
        <f t="shared" si="65"/>
        <v>1511987</v>
      </c>
      <c r="I150" s="61">
        <f t="shared" si="65"/>
        <v>554487</v>
      </c>
      <c r="J150" s="61">
        <f t="shared" si="65"/>
        <v>787487</v>
      </c>
      <c r="K150" s="61">
        <f>K151+K160</f>
        <v>660787</v>
      </c>
      <c r="L150" s="61">
        <f t="shared" ref="L150:M150" si="66">L151+L160</f>
        <v>524872</v>
      </c>
      <c r="M150" s="61">
        <f t="shared" si="66"/>
        <v>518132</v>
      </c>
    </row>
    <row r="151" spans="1:13" outlineLevel="7">
      <c r="A151" s="8"/>
      <c r="B151" s="34" t="s">
        <v>36</v>
      </c>
      <c r="C151" s="109" t="s">
        <v>142</v>
      </c>
      <c r="D151" s="34" t="s">
        <v>22</v>
      </c>
      <c r="E151" s="34" t="s">
        <v>54</v>
      </c>
      <c r="F151" s="184">
        <f>SUM(F152:F159)</f>
        <v>369005</v>
      </c>
      <c r="G151" s="184">
        <f t="shared" ref="G151:M151" si="67">SUM(G152:G159)</f>
        <v>335311</v>
      </c>
      <c r="H151" s="184">
        <f t="shared" si="67"/>
        <v>1154500</v>
      </c>
      <c r="I151" s="184">
        <f t="shared" si="67"/>
        <v>197000</v>
      </c>
      <c r="J151" s="184">
        <f t="shared" si="67"/>
        <v>430000</v>
      </c>
      <c r="K151" s="184">
        <f>SUM(K152:K159)</f>
        <v>360787</v>
      </c>
      <c r="L151" s="184">
        <f t="shared" si="67"/>
        <v>167385</v>
      </c>
      <c r="M151" s="184">
        <f t="shared" si="67"/>
        <v>160645</v>
      </c>
    </row>
    <row r="152" spans="1:13" ht="25.5" outlineLevel="7">
      <c r="A152" s="8" t="s">
        <v>245</v>
      </c>
      <c r="B152" s="23"/>
      <c r="C152" s="24"/>
      <c r="D152" s="23"/>
      <c r="E152" s="23"/>
      <c r="F152" s="66"/>
      <c r="G152" s="65"/>
      <c r="H152" s="66">
        <v>14000</v>
      </c>
      <c r="I152" s="66">
        <v>7000</v>
      </c>
      <c r="J152" s="66"/>
      <c r="K152" s="66">
        <v>7000</v>
      </c>
      <c r="L152" s="66">
        <v>7000</v>
      </c>
      <c r="M152" s="66"/>
    </row>
    <row r="153" spans="1:13" outlineLevel="7">
      <c r="A153" s="8" t="s">
        <v>259</v>
      </c>
      <c r="B153" s="23"/>
      <c r="C153" s="24"/>
      <c r="D153" s="23"/>
      <c r="E153" s="23"/>
      <c r="F153" s="66">
        <v>128565</v>
      </c>
      <c r="G153" s="65">
        <v>128565</v>
      </c>
      <c r="H153" s="66"/>
      <c r="I153" s="66"/>
      <c r="J153" s="66"/>
      <c r="K153" s="66"/>
      <c r="L153" s="66"/>
      <c r="M153" s="66"/>
    </row>
    <row r="154" spans="1:13" outlineLevel="7">
      <c r="A154" s="8" t="s">
        <v>246</v>
      </c>
      <c r="B154" s="23"/>
      <c r="C154" s="24"/>
      <c r="D154" s="23"/>
      <c r="E154" s="23"/>
      <c r="F154" s="66"/>
      <c r="G154" s="65"/>
      <c r="H154" s="66"/>
      <c r="I154" s="66"/>
      <c r="J154" s="66">
        <v>350000</v>
      </c>
      <c r="K154" s="66"/>
      <c r="L154" s="66"/>
      <c r="M154" s="66">
        <f>350000-189355</f>
        <v>160645</v>
      </c>
    </row>
    <row r="155" spans="1:13" outlineLevel="7">
      <c r="A155" s="8" t="s">
        <v>247</v>
      </c>
      <c r="B155" s="23"/>
      <c r="C155" s="24"/>
      <c r="D155" s="23"/>
      <c r="E155" s="23"/>
      <c r="F155" s="66"/>
      <c r="G155" s="65"/>
      <c r="H155" s="66">
        <v>350000</v>
      </c>
      <c r="I155" s="66"/>
      <c r="J155" s="66"/>
      <c r="K155" s="66">
        <v>330000</v>
      </c>
      <c r="L155" s="66"/>
      <c r="M155" s="66"/>
    </row>
    <row r="156" spans="1:13" outlineLevel="7">
      <c r="A156" s="8" t="s">
        <v>248</v>
      </c>
      <c r="B156" s="23"/>
      <c r="C156" s="24"/>
      <c r="D156" s="23"/>
      <c r="E156" s="23"/>
      <c r="F156" s="66">
        <f>150000+125000-34560</f>
        <v>240440</v>
      </c>
      <c r="G156" s="65">
        <v>206746</v>
      </c>
      <c r="H156" s="66">
        <v>350000</v>
      </c>
      <c r="I156" s="66">
        <v>100000</v>
      </c>
      <c r="J156" s="66"/>
      <c r="K156" s="66"/>
      <c r="L156" s="66">
        <v>100000</v>
      </c>
      <c r="M156" s="66"/>
    </row>
    <row r="157" spans="1:13" outlineLevel="7">
      <c r="A157" s="8" t="s">
        <v>179</v>
      </c>
      <c r="B157" s="23"/>
      <c r="C157" s="24"/>
      <c r="D157" s="23"/>
      <c r="E157" s="23"/>
      <c r="F157" s="66"/>
      <c r="G157" s="65"/>
      <c r="H157" s="66">
        <v>70000</v>
      </c>
      <c r="I157" s="66">
        <v>70000</v>
      </c>
      <c r="J157" s="66">
        <v>80000</v>
      </c>
      <c r="K157" s="66">
        <f>40000-16213</f>
        <v>23787</v>
      </c>
      <c r="L157" s="66">
        <f>70000-9615</f>
        <v>60385</v>
      </c>
      <c r="M157" s="66">
        <f>80000-80000</f>
        <v>0</v>
      </c>
    </row>
    <row r="158" spans="1:13" ht="25.5" outlineLevel="7">
      <c r="A158" s="8" t="s">
        <v>217</v>
      </c>
      <c r="B158" s="23"/>
      <c r="C158" s="116"/>
      <c r="D158" s="23"/>
      <c r="E158" s="23"/>
      <c r="F158" s="66"/>
      <c r="G158" s="65"/>
      <c r="H158" s="66">
        <v>370500</v>
      </c>
      <c r="I158" s="66">
        <v>20000</v>
      </c>
      <c r="J158" s="66"/>
      <c r="K158" s="66"/>
      <c r="L158" s="66"/>
      <c r="M158" s="66"/>
    </row>
    <row r="159" spans="1:13" outlineLevel="7">
      <c r="A159" s="8" t="s">
        <v>37</v>
      </c>
      <c r="B159" s="23"/>
      <c r="C159" s="116"/>
      <c r="D159" s="23"/>
      <c r="E159" s="23"/>
      <c r="F159" s="66"/>
      <c r="G159" s="65"/>
      <c r="H159" s="66"/>
      <c r="I159" s="66"/>
      <c r="J159" s="66"/>
      <c r="K159" s="66"/>
      <c r="L159" s="66"/>
      <c r="M159" s="66"/>
    </row>
    <row r="160" spans="1:13" outlineLevel="7">
      <c r="A160" s="5" t="s">
        <v>223</v>
      </c>
      <c r="B160" s="34" t="s">
        <v>36</v>
      </c>
      <c r="C160" s="109" t="s">
        <v>142</v>
      </c>
      <c r="D160" s="34" t="s">
        <v>214</v>
      </c>
      <c r="E160" s="34" t="s">
        <v>54</v>
      </c>
      <c r="F160" s="184">
        <v>291581</v>
      </c>
      <c r="G160" s="72">
        <v>108631.01</v>
      </c>
      <c r="H160" s="184">
        <v>357487</v>
      </c>
      <c r="I160" s="184">
        <v>357487</v>
      </c>
      <c r="J160" s="184">
        <v>357487</v>
      </c>
      <c r="K160" s="184">
        <v>300000</v>
      </c>
      <c r="L160" s="184">
        <v>357487</v>
      </c>
      <c r="M160" s="184">
        <v>357487</v>
      </c>
    </row>
    <row r="161" spans="1:13" outlineLevel="7">
      <c r="A161" s="7" t="s">
        <v>144</v>
      </c>
      <c r="B161" s="17" t="s">
        <v>36</v>
      </c>
      <c r="C161" s="39" t="s">
        <v>148</v>
      </c>
      <c r="D161" s="17" t="s">
        <v>22</v>
      </c>
      <c r="E161" s="17" t="s">
        <v>54</v>
      </c>
      <c r="F161" s="71">
        <f t="shared" ref="F161" si="68">SUM(F162:F165)</f>
        <v>4000</v>
      </c>
      <c r="G161" s="71">
        <f t="shared" ref="G161:M161" si="69">SUM(G162:G165)</f>
        <v>4000</v>
      </c>
      <c r="H161" s="71">
        <f t="shared" si="69"/>
        <v>27000</v>
      </c>
      <c r="I161" s="71">
        <f t="shared" si="69"/>
        <v>12000</v>
      </c>
      <c r="J161" s="71">
        <f t="shared" si="69"/>
        <v>12000</v>
      </c>
      <c r="K161" s="71">
        <f t="shared" si="69"/>
        <v>3000</v>
      </c>
      <c r="L161" s="71">
        <f t="shared" si="69"/>
        <v>4000</v>
      </c>
      <c r="M161" s="71">
        <f t="shared" si="69"/>
        <v>4000</v>
      </c>
    </row>
    <row r="162" spans="1:13" outlineLevel="7">
      <c r="A162" s="8" t="s">
        <v>145</v>
      </c>
      <c r="B162" s="114"/>
      <c r="C162" s="118"/>
      <c r="D162" s="97"/>
      <c r="E162" s="23"/>
      <c r="F162" s="66"/>
      <c r="G162" s="65"/>
      <c r="H162" s="66">
        <v>8000</v>
      </c>
      <c r="I162" s="66">
        <v>8000</v>
      </c>
      <c r="J162" s="66">
        <v>8000</v>
      </c>
      <c r="K162" s="66"/>
      <c r="L162" s="66"/>
      <c r="M162" s="66"/>
    </row>
    <row r="163" spans="1:13" outlineLevel="7">
      <c r="A163" s="8" t="s">
        <v>249</v>
      </c>
      <c r="B163" s="114"/>
      <c r="C163" s="118"/>
      <c r="D163" s="97"/>
      <c r="E163" s="23"/>
      <c r="F163" s="66"/>
      <c r="G163" s="65"/>
      <c r="H163" s="66">
        <v>15000</v>
      </c>
      <c r="I163" s="66"/>
      <c r="J163" s="66"/>
      <c r="K163" s="66"/>
      <c r="L163" s="66"/>
      <c r="M163" s="66"/>
    </row>
    <row r="164" spans="1:13" outlineLevel="7">
      <c r="A164" s="8"/>
      <c r="B164" s="114"/>
      <c r="C164" s="118"/>
      <c r="D164" s="97"/>
      <c r="E164" s="23"/>
      <c r="F164" s="66"/>
      <c r="G164" s="65"/>
      <c r="H164" s="66"/>
      <c r="I164" s="66"/>
      <c r="J164" s="66"/>
      <c r="K164" s="66"/>
      <c r="L164" s="66"/>
      <c r="M164" s="66"/>
    </row>
    <row r="165" spans="1:13" outlineLevel="7">
      <c r="A165" s="8" t="s">
        <v>146</v>
      </c>
      <c r="B165" s="114"/>
      <c r="C165" s="118"/>
      <c r="D165" s="97"/>
      <c r="E165" s="23"/>
      <c r="F165" s="66">
        <v>4000</v>
      </c>
      <c r="G165" s="65">
        <v>4000</v>
      </c>
      <c r="H165" s="66">
        <v>4000</v>
      </c>
      <c r="I165" s="66">
        <v>4000</v>
      </c>
      <c r="J165" s="66">
        <v>4000</v>
      </c>
      <c r="K165" s="66">
        <v>3000</v>
      </c>
      <c r="L165" s="66">
        <v>4000</v>
      </c>
      <c r="M165" s="66">
        <v>4000</v>
      </c>
    </row>
    <row r="166" spans="1:13" outlineLevel="7">
      <c r="A166" s="7" t="s">
        <v>63</v>
      </c>
      <c r="B166" s="17" t="s">
        <v>36</v>
      </c>
      <c r="C166" s="39" t="s">
        <v>147</v>
      </c>
      <c r="D166" s="17" t="s">
        <v>22</v>
      </c>
      <c r="E166" s="17" t="s">
        <v>54</v>
      </c>
      <c r="F166" s="61">
        <f t="shared" ref="F166:M166" si="70">SUM(F167:F175)</f>
        <v>132385.26</v>
      </c>
      <c r="G166" s="61">
        <f t="shared" si="70"/>
        <v>85470.79</v>
      </c>
      <c r="H166" s="61">
        <f t="shared" si="70"/>
        <v>471652</v>
      </c>
      <c r="I166" s="61">
        <f t="shared" si="70"/>
        <v>470652</v>
      </c>
      <c r="J166" s="61">
        <f t="shared" si="70"/>
        <v>438652</v>
      </c>
      <c r="K166" s="61">
        <f t="shared" si="70"/>
        <v>193522</v>
      </c>
      <c r="L166" s="61">
        <f t="shared" si="70"/>
        <v>299922</v>
      </c>
      <c r="M166" s="61">
        <f t="shared" si="70"/>
        <v>219422</v>
      </c>
    </row>
    <row r="167" spans="1:13" ht="25.5" outlineLevel="7">
      <c r="A167" s="8" t="s">
        <v>250</v>
      </c>
      <c r="B167" s="114"/>
      <c r="C167" s="45"/>
      <c r="D167" s="97"/>
      <c r="E167" s="23"/>
      <c r="F167" s="176"/>
      <c r="G167" s="65"/>
      <c r="H167" s="176">
        <v>15000</v>
      </c>
      <c r="I167" s="176">
        <v>20000</v>
      </c>
      <c r="J167" s="176">
        <v>20000</v>
      </c>
      <c r="K167" s="176">
        <v>15000</v>
      </c>
      <c r="L167" s="176">
        <v>20000</v>
      </c>
      <c r="M167" s="176">
        <v>20000</v>
      </c>
    </row>
    <row r="168" spans="1:13" outlineLevel="7">
      <c r="A168" s="8" t="s">
        <v>265</v>
      </c>
      <c r="B168" s="114"/>
      <c r="C168" s="45"/>
      <c r="D168" s="97"/>
      <c r="E168" s="23"/>
      <c r="F168" s="176">
        <v>31603</v>
      </c>
      <c r="G168" s="65"/>
      <c r="H168" s="176">
        <v>46000</v>
      </c>
      <c r="I168" s="65">
        <v>40000</v>
      </c>
      <c r="J168" s="65">
        <v>40000</v>
      </c>
      <c r="K168" s="176">
        <v>36000</v>
      </c>
      <c r="L168" s="65">
        <v>40000</v>
      </c>
      <c r="M168" s="65">
        <v>40000</v>
      </c>
    </row>
    <row r="169" spans="1:13" outlineLevel="7">
      <c r="A169" s="9" t="s">
        <v>221</v>
      </c>
      <c r="B169" s="25"/>
      <c r="C169" s="201"/>
      <c r="D169" s="25"/>
      <c r="E169" s="25"/>
      <c r="F169" s="66">
        <v>49140</v>
      </c>
      <c r="G169" s="65">
        <v>38917.620000000003</v>
      </c>
      <c r="H169" s="176">
        <v>49140</v>
      </c>
      <c r="I169" s="176">
        <v>49140</v>
      </c>
      <c r="J169" s="176">
        <v>49140</v>
      </c>
      <c r="K169" s="176">
        <v>49140</v>
      </c>
      <c r="L169" s="176">
        <v>49140</v>
      </c>
      <c r="M169" s="176">
        <v>49140</v>
      </c>
    </row>
    <row r="170" spans="1:13" ht="25.5" outlineLevel="7">
      <c r="A170" s="9" t="s">
        <v>231</v>
      </c>
      <c r="B170" s="23"/>
      <c r="C170" s="24"/>
      <c r="D170" s="23"/>
      <c r="E170" s="23"/>
      <c r="F170" s="66"/>
      <c r="G170" s="65"/>
      <c r="H170" s="66">
        <v>168000</v>
      </c>
      <c r="I170" s="66">
        <v>168000</v>
      </c>
      <c r="J170" s="66">
        <v>168000</v>
      </c>
      <c r="K170" s="66">
        <v>0</v>
      </c>
      <c r="L170" s="66">
        <f>168000-70600</f>
        <v>97400</v>
      </c>
      <c r="M170" s="66">
        <f>168000-141100</f>
        <v>26900</v>
      </c>
    </row>
    <row r="171" spans="1:13" ht="16.5" customHeight="1" outlineLevel="7">
      <c r="A171" s="8" t="s">
        <v>287</v>
      </c>
      <c r="B171" s="23"/>
      <c r="C171" s="24"/>
      <c r="D171" s="23"/>
      <c r="E171" s="23"/>
      <c r="F171" s="66">
        <v>45000</v>
      </c>
      <c r="G171" s="65">
        <v>45000</v>
      </c>
      <c r="H171" s="66">
        <v>91512</v>
      </c>
      <c r="I171" s="66">
        <v>91512</v>
      </c>
      <c r="J171" s="66">
        <v>91512</v>
      </c>
      <c r="K171" s="66">
        <v>53382</v>
      </c>
      <c r="L171" s="66">
        <v>53382</v>
      </c>
      <c r="M171" s="66">
        <v>53382</v>
      </c>
    </row>
    <row r="172" spans="1:13" outlineLevel="7">
      <c r="A172" s="8" t="s">
        <v>233</v>
      </c>
      <c r="B172" s="23"/>
      <c r="C172" s="24"/>
      <c r="D172" s="23"/>
      <c r="E172" s="23"/>
      <c r="F172" s="66">
        <f>30000-27701.93+2000</f>
        <v>4298.07</v>
      </c>
      <c r="G172" s="65"/>
      <c r="H172" s="66">
        <v>70000</v>
      </c>
      <c r="I172" s="66">
        <v>70000</v>
      </c>
      <c r="J172" s="66">
        <v>70000</v>
      </c>
      <c r="K172" s="66">
        <v>30000</v>
      </c>
      <c r="L172" s="66">
        <v>30000</v>
      </c>
      <c r="M172" s="66">
        <v>30000</v>
      </c>
    </row>
    <row r="173" spans="1:13" outlineLevel="7">
      <c r="A173" s="8" t="s">
        <v>222</v>
      </c>
      <c r="B173" s="23"/>
      <c r="C173" s="24"/>
      <c r="D173" s="23"/>
      <c r="E173" s="23"/>
      <c r="F173" s="66"/>
      <c r="G173" s="65"/>
      <c r="H173" s="66">
        <v>30000</v>
      </c>
      <c r="I173" s="66">
        <v>30000</v>
      </c>
      <c r="J173" s="66"/>
      <c r="K173" s="66">
        <v>10000</v>
      </c>
      <c r="L173" s="66">
        <v>10000</v>
      </c>
      <c r="M173" s="66"/>
    </row>
    <row r="174" spans="1:13" outlineLevel="7">
      <c r="A174" s="8" t="s">
        <v>264</v>
      </c>
      <c r="B174" s="23"/>
      <c r="C174" s="24"/>
      <c r="D174" s="23"/>
      <c r="E174" s="23"/>
      <c r="F174" s="66">
        <v>2344.19</v>
      </c>
      <c r="G174" s="65">
        <v>1553.17</v>
      </c>
      <c r="H174" s="66"/>
      <c r="I174" s="66"/>
      <c r="J174" s="66"/>
      <c r="K174" s="66"/>
      <c r="L174" s="66"/>
      <c r="M174" s="66"/>
    </row>
    <row r="175" spans="1:13" outlineLevel="4">
      <c r="A175" s="8" t="s">
        <v>232</v>
      </c>
      <c r="B175" s="23"/>
      <c r="C175" s="24"/>
      <c r="D175" s="23"/>
      <c r="E175" s="23"/>
      <c r="F175" s="74">
        <v>0</v>
      </c>
      <c r="G175" s="65"/>
      <c r="H175" s="74">
        <v>2000</v>
      </c>
      <c r="I175" s="74">
        <v>2000</v>
      </c>
      <c r="J175" s="74"/>
      <c r="K175" s="74">
        <v>0</v>
      </c>
      <c r="L175" s="74">
        <v>0</v>
      </c>
      <c r="M175" s="74"/>
    </row>
    <row r="176" spans="1:13" outlineLevel="7">
      <c r="A176" s="7" t="s">
        <v>65</v>
      </c>
      <c r="B176" s="17" t="s">
        <v>36</v>
      </c>
      <c r="C176" s="39" t="s">
        <v>149</v>
      </c>
      <c r="D176" s="17" t="s">
        <v>22</v>
      </c>
      <c r="E176" s="17" t="s">
        <v>54</v>
      </c>
      <c r="F176" s="61">
        <f t="shared" ref="F176:M176" si="71">SUM(F177)</f>
        <v>0</v>
      </c>
      <c r="G176" s="61">
        <f t="shared" si="71"/>
        <v>0</v>
      </c>
      <c r="H176" s="61">
        <f t="shared" si="71"/>
        <v>0</v>
      </c>
      <c r="I176" s="61">
        <f t="shared" si="71"/>
        <v>0</v>
      </c>
      <c r="J176" s="61">
        <f t="shared" si="71"/>
        <v>0</v>
      </c>
      <c r="K176" s="61">
        <f t="shared" si="71"/>
        <v>0</v>
      </c>
      <c r="L176" s="61">
        <f t="shared" si="71"/>
        <v>0</v>
      </c>
      <c r="M176" s="61">
        <f t="shared" si="71"/>
        <v>0</v>
      </c>
    </row>
    <row r="177" spans="1:13" ht="25.5" outlineLevel="7">
      <c r="A177" s="8" t="s">
        <v>38</v>
      </c>
      <c r="B177" s="23"/>
      <c r="C177" s="45"/>
      <c r="D177" s="23"/>
      <c r="E177" s="23"/>
      <c r="F177" s="66"/>
      <c r="G177" s="65"/>
      <c r="H177" s="66"/>
      <c r="I177" s="66"/>
      <c r="J177" s="66"/>
      <c r="K177" s="66"/>
      <c r="L177" s="66"/>
      <c r="M177" s="66"/>
    </row>
    <row r="178" spans="1:13" ht="33.75" customHeight="1" outlineLevel="7">
      <c r="A178" s="122" t="s">
        <v>202</v>
      </c>
      <c r="B178" s="17"/>
      <c r="C178" s="39" t="s">
        <v>172</v>
      </c>
      <c r="D178" s="115"/>
      <c r="E178" s="17"/>
      <c r="F178" s="61">
        <f>F179+F184+F189</f>
        <v>0</v>
      </c>
      <c r="G178" s="61">
        <f t="shared" ref="G178:M178" si="72">G179+G184+G189</f>
        <v>0</v>
      </c>
      <c r="H178" s="61">
        <f t="shared" si="72"/>
        <v>1084468</v>
      </c>
      <c r="I178" s="61">
        <f t="shared" si="72"/>
        <v>2957217</v>
      </c>
      <c r="J178" s="61">
        <f t="shared" si="72"/>
        <v>1222045</v>
      </c>
      <c r="K178" s="61">
        <f t="shared" si="72"/>
        <v>0</v>
      </c>
      <c r="L178" s="61">
        <f t="shared" si="72"/>
        <v>0</v>
      </c>
      <c r="M178" s="61">
        <f t="shared" si="72"/>
        <v>0</v>
      </c>
    </row>
    <row r="179" spans="1:13" ht="25.5" outlineLevel="7">
      <c r="A179" s="230" t="s">
        <v>220</v>
      </c>
      <c r="B179" s="177"/>
      <c r="C179" s="179"/>
      <c r="D179" s="178"/>
      <c r="E179" s="25"/>
      <c r="F179" s="66">
        <f t="shared" ref="F179" si="73">SUM(F180:F183)</f>
        <v>0</v>
      </c>
      <c r="G179" s="65"/>
      <c r="H179" s="66">
        <f t="shared" ref="H179:M179" si="74">SUM(H180:H183)</f>
        <v>1084468</v>
      </c>
      <c r="I179" s="66">
        <f t="shared" si="74"/>
        <v>0</v>
      </c>
      <c r="J179" s="66">
        <f t="shared" si="74"/>
        <v>0</v>
      </c>
      <c r="K179" s="66">
        <f t="shared" si="74"/>
        <v>0</v>
      </c>
      <c r="L179" s="66">
        <f t="shared" si="74"/>
        <v>0</v>
      </c>
      <c r="M179" s="66">
        <f t="shared" si="74"/>
        <v>0</v>
      </c>
    </row>
    <row r="180" spans="1:13" outlineLevel="7">
      <c r="A180" s="9" t="s">
        <v>159</v>
      </c>
      <c r="B180" s="136" t="s">
        <v>31</v>
      </c>
      <c r="C180" s="181" t="s">
        <v>218</v>
      </c>
      <c r="D180" s="134" t="s">
        <v>22</v>
      </c>
      <c r="E180" s="25" t="s">
        <v>164</v>
      </c>
      <c r="F180" s="66"/>
      <c r="G180" s="65"/>
      <c r="H180" s="66">
        <v>759128</v>
      </c>
      <c r="I180" s="66"/>
      <c r="J180" s="66"/>
      <c r="K180" s="66"/>
      <c r="L180" s="66"/>
      <c r="M180" s="66"/>
    </row>
    <row r="181" spans="1:13" outlineLevel="7">
      <c r="A181" s="9" t="s">
        <v>173</v>
      </c>
      <c r="B181" s="136" t="s">
        <v>31</v>
      </c>
      <c r="C181" s="181" t="s">
        <v>218</v>
      </c>
      <c r="D181" s="134" t="s">
        <v>22</v>
      </c>
      <c r="E181" s="25" t="s">
        <v>78</v>
      </c>
      <c r="F181" s="66"/>
      <c r="G181" s="65"/>
      <c r="H181" s="66"/>
      <c r="I181" s="66"/>
      <c r="J181" s="66"/>
      <c r="K181" s="66"/>
      <c r="L181" s="66"/>
      <c r="M181" s="66"/>
    </row>
    <row r="182" spans="1:13" outlineLevel="7">
      <c r="A182" s="9" t="s">
        <v>161</v>
      </c>
      <c r="B182" s="136" t="s">
        <v>31</v>
      </c>
      <c r="C182" s="181" t="s">
        <v>218</v>
      </c>
      <c r="D182" s="134" t="s">
        <v>22</v>
      </c>
      <c r="E182" s="25" t="s">
        <v>46</v>
      </c>
      <c r="F182" s="66"/>
      <c r="G182" s="65"/>
      <c r="H182" s="66">
        <v>314495</v>
      </c>
      <c r="I182" s="66"/>
      <c r="J182" s="66"/>
      <c r="K182" s="66"/>
      <c r="L182" s="66"/>
      <c r="M182" s="66"/>
    </row>
    <row r="183" spans="1:13" outlineLevel="7">
      <c r="A183" s="182" t="s">
        <v>162</v>
      </c>
      <c r="B183" s="136" t="s">
        <v>31</v>
      </c>
      <c r="C183" s="181" t="s">
        <v>218</v>
      </c>
      <c r="D183" s="134" t="s">
        <v>22</v>
      </c>
      <c r="E183" s="25" t="s">
        <v>78</v>
      </c>
      <c r="F183" s="66"/>
      <c r="G183" s="65"/>
      <c r="H183" s="208">
        <v>10845</v>
      </c>
      <c r="I183" s="66"/>
      <c r="J183" s="66"/>
      <c r="K183" s="208">
        <v>0</v>
      </c>
      <c r="L183" s="66"/>
      <c r="M183" s="66"/>
    </row>
    <row r="184" spans="1:13" outlineLevel="7">
      <c r="A184" s="230" t="s">
        <v>283</v>
      </c>
      <c r="B184" s="177"/>
      <c r="C184" s="179"/>
      <c r="D184" s="178"/>
      <c r="E184" s="25"/>
      <c r="F184" s="66">
        <f t="shared" ref="F184" si="75">SUM(F185:F188)</f>
        <v>0</v>
      </c>
      <c r="G184" s="65"/>
      <c r="H184" s="66">
        <f t="shared" ref="H184:M184" si="76">SUM(H185:H188)</f>
        <v>0</v>
      </c>
      <c r="I184" s="66">
        <f t="shared" si="76"/>
        <v>2957217</v>
      </c>
      <c r="J184" s="66">
        <f t="shared" si="76"/>
        <v>0</v>
      </c>
      <c r="K184" s="66">
        <f t="shared" si="76"/>
        <v>0</v>
      </c>
      <c r="L184" s="66">
        <f t="shared" si="76"/>
        <v>0</v>
      </c>
      <c r="M184" s="66">
        <f t="shared" si="76"/>
        <v>0</v>
      </c>
    </row>
    <row r="185" spans="1:13" outlineLevel="7">
      <c r="A185" s="9" t="s">
        <v>159</v>
      </c>
      <c r="B185" s="136" t="s">
        <v>36</v>
      </c>
      <c r="C185" s="181" t="s">
        <v>218</v>
      </c>
      <c r="D185" s="134" t="s">
        <v>22</v>
      </c>
      <c r="E185" s="25" t="s">
        <v>164</v>
      </c>
      <c r="F185" s="66"/>
      <c r="G185" s="65"/>
      <c r="H185" s="66"/>
      <c r="I185" s="66">
        <v>2070053</v>
      </c>
      <c r="J185" s="66"/>
      <c r="K185" s="66"/>
      <c r="L185" s="66"/>
      <c r="M185" s="66"/>
    </row>
    <row r="186" spans="1:13" outlineLevel="7">
      <c r="A186" s="9" t="s">
        <v>173</v>
      </c>
      <c r="B186" s="136" t="s">
        <v>36</v>
      </c>
      <c r="C186" s="181" t="s">
        <v>218</v>
      </c>
      <c r="D186" s="134" t="s">
        <v>22</v>
      </c>
      <c r="E186" s="25" t="s">
        <v>78</v>
      </c>
      <c r="F186" s="66"/>
      <c r="G186" s="65"/>
      <c r="H186" s="66"/>
      <c r="I186" s="66"/>
      <c r="J186" s="66"/>
      <c r="K186" s="66"/>
      <c r="L186" s="66"/>
      <c r="M186" s="66"/>
    </row>
    <row r="187" spans="1:13" outlineLevel="7">
      <c r="A187" s="9" t="s">
        <v>161</v>
      </c>
      <c r="B187" s="136" t="s">
        <v>36</v>
      </c>
      <c r="C187" s="181" t="s">
        <v>218</v>
      </c>
      <c r="D187" s="134" t="s">
        <v>22</v>
      </c>
      <c r="E187" s="25" t="s">
        <v>46</v>
      </c>
      <c r="F187" s="66"/>
      <c r="G187" s="65"/>
      <c r="H187" s="66"/>
      <c r="I187" s="66">
        <v>857592</v>
      </c>
      <c r="J187" s="66"/>
      <c r="K187" s="66"/>
      <c r="L187" s="66"/>
      <c r="M187" s="66"/>
    </row>
    <row r="188" spans="1:13" outlineLevel="7">
      <c r="A188" s="182" t="s">
        <v>162</v>
      </c>
      <c r="B188" s="136" t="s">
        <v>36</v>
      </c>
      <c r="C188" s="181" t="s">
        <v>218</v>
      </c>
      <c r="D188" s="134" t="s">
        <v>22</v>
      </c>
      <c r="E188" s="25" t="s">
        <v>78</v>
      </c>
      <c r="F188" s="66"/>
      <c r="G188" s="65"/>
      <c r="H188" s="66"/>
      <c r="I188" s="208">
        <v>29572</v>
      </c>
      <c r="J188" s="66"/>
      <c r="K188" s="66"/>
      <c r="L188" s="208">
        <v>0</v>
      </c>
      <c r="M188" s="66"/>
    </row>
    <row r="189" spans="1:13" outlineLevel="7">
      <c r="A189" s="230" t="s">
        <v>282</v>
      </c>
      <c r="B189" s="177"/>
      <c r="C189" s="179"/>
      <c r="D189" s="178"/>
      <c r="E189" s="25"/>
      <c r="F189" s="66">
        <f t="shared" ref="F189" si="77">SUM(F190:F193)</f>
        <v>0</v>
      </c>
      <c r="G189" s="65"/>
      <c r="H189" s="66">
        <f t="shared" ref="H189:M189" si="78">SUM(H190:H193)</f>
        <v>0</v>
      </c>
      <c r="I189" s="66">
        <f t="shared" si="78"/>
        <v>0</v>
      </c>
      <c r="J189" s="66">
        <f t="shared" si="78"/>
        <v>1222045</v>
      </c>
      <c r="K189" s="66">
        <f t="shared" si="78"/>
        <v>0</v>
      </c>
      <c r="L189" s="66">
        <f t="shared" si="78"/>
        <v>0</v>
      </c>
      <c r="M189" s="66">
        <f t="shared" si="78"/>
        <v>0</v>
      </c>
    </row>
    <row r="190" spans="1:13" outlineLevel="7">
      <c r="A190" s="9" t="s">
        <v>159</v>
      </c>
      <c r="B190" s="136" t="s">
        <v>31</v>
      </c>
      <c r="C190" s="181" t="s">
        <v>218</v>
      </c>
      <c r="D190" s="134" t="s">
        <v>22</v>
      </c>
      <c r="E190" s="25" t="s">
        <v>164</v>
      </c>
      <c r="F190" s="66"/>
      <c r="G190" s="65"/>
      <c r="H190" s="66"/>
      <c r="I190" s="66"/>
      <c r="J190" s="66">
        <v>855432</v>
      </c>
      <c r="K190" s="66"/>
      <c r="L190" s="66"/>
      <c r="M190" s="66"/>
    </row>
    <row r="191" spans="1:13" outlineLevel="7">
      <c r="A191" s="9" t="s">
        <v>173</v>
      </c>
      <c r="B191" s="136" t="s">
        <v>31</v>
      </c>
      <c r="C191" s="181" t="s">
        <v>218</v>
      </c>
      <c r="D191" s="134" t="s">
        <v>22</v>
      </c>
      <c r="E191" s="25" t="s">
        <v>78</v>
      </c>
      <c r="F191" s="66"/>
      <c r="G191" s="65"/>
      <c r="H191" s="66"/>
      <c r="I191" s="66"/>
      <c r="J191" s="66"/>
      <c r="K191" s="66"/>
      <c r="L191" s="66"/>
      <c r="M191" s="66"/>
    </row>
    <row r="192" spans="1:13" outlineLevel="7">
      <c r="A192" s="9" t="s">
        <v>161</v>
      </c>
      <c r="B192" s="136" t="s">
        <v>31</v>
      </c>
      <c r="C192" s="181" t="s">
        <v>218</v>
      </c>
      <c r="D192" s="134" t="s">
        <v>22</v>
      </c>
      <c r="E192" s="25" t="s">
        <v>46</v>
      </c>
      <c r="F192" s="66"/>
      <c r="G192" s="65"/>
      <c r="H192" s="66"/>
      <c r="I192" s="66"/>
      <c r="J192" s="66">
        <v>354393</v>
      </c>
      <c r="K192" s="66"/>
      <c r="L192" s="66"/>
      <c r="M192" s="66"/>
    </row>
    <row r="193" spans="1:13" outlineLevel="7">
      <c r="A193" s="182" t="s">
        <v>162</v>
      </c>
      <c r="B193" s="136" t="s">
        <v>31</v>
      </c>
      <c r="C193" s="181" t="s">
        <v>218</v>
      </c>
      <c r="D193" s="134" t="s">
        <v>22</v>
      </c>
      <c r="E193" s="25" t="s">
        <v>78</v>
      </c>
      <c r="F193" s="66"/>
      <c r="G193" s="65"/>
      <c r="H193" s="66"/>
      <c r="I193" s="66"/>
      <c r="J193" s="208">
        <v>12220</v>
      </c>
      <c r="K193" s="66"/>
      <c r="L193" s="66"/>
      <c r="M193" s="208">
        <v>0</v>
      </c>
    </row>
    <row r="194" spans="1:13" ht="31.5" outlineLevel="7">
      <c r="A194" s="122" t="s">
        <v>163</v>
      </c>
      <c r="B194" s="163" t="s">
        <v>36</v>
      </c>
      <c r="C194" s="39"/>
      <c r="D194" s="163" t="s">
        <v>22</v>
      </c>
      <c r="E194" s="164"/>
      <c r="F194" s="165">
        <f>F195+F201</f>
        <v>785101.22</v>
      </c>
      <c r="G194" s="165">
        <f t="shared" ref="G194:M194" si="79">G195+G201</f>
        <v>15000</v>
      </c>
      <c r="H194" s="165">
        <f t="shared" si="79"/>
        <v>599800</v>
      </c>
      <c r="I194" s="165">
        <f t="shared" si="79"/>
        <v>0</v>
      </c>
      <c r="J194" s="165">
        <f t="shared" si="79"/>
        <v>0</v>
      </c>
      <c r="K194" s="165">
        <f t="shared" si="79"/>
        <v>59980</v>
      </c>
      <c r="L194" s="165">
        <f t="shared" si="79"/>
        <v>0</v>
      </c>
      <c r="M194" s="165">
        <f t="shared" si="79"/>
        <v>0</v>
      </c>
    </row>
    <row r="195" spans="1:13" ht="18.75" customHeight="1" outlineLevel="7">
      <c r="A195" s="188" t="s">
        <v>224</v>
      </c>
      <c r="B195" s="158"/>
      <c r="C195" s="159"/>
      <c r="D195" s="160"/>
      <c r="E195" s="161"/>
      <c r="F195" s="162">
        <f t="shared" ref="F195" si="80">SUM(F196:F200)</f>
        <v>785101.22</v>
      </c>
      <c r="G195" s="162">
        <f t="shared" ref="G195:M195" si="81">SUM(G196:G200)</f>
        <v>15000</v>
      </c>
      <c r="H195" s="162">
        <f t="shared" si="81"/>
        <v>0</v>
      </c>
      <c r="I195" s="162">
        <f t="shared" si="81"/>
        <v>0</v>
      </c>
      <c r="J195" s="162">
        <f t="shared" si="81"/>
        <v>0</v>
      </c>
      <c r="K195" s="162">
        <f t="shared" si="81"/>
        <v>0</v>
      </c>
      <c r="L195" s="162">
        <f t="shared" si="81"/>
        <v>0</v>
      </c>
      <c r="M195" s="162">
        <f t="shared" si="81"/>
        <v>0</v>
      </c>
    </row>
    <row r="196" spans="1:13" outlineLevel="7">
      <c r="A196" s="8" t="s">
        <v>159</v>
      </c>
      <c r="B196" s="34" t="s">
        <v>36</v>
      </c>
      <c r="C196" s="84" t="s">
        <v>200</v>
      </c>
      <c r="D196" s="119" t="s">
        <v>22</v>
      </c>
      <c r="E196" s="23" t="s">
        <v>164</v>
      </c>
      <c r="F196" s="66">
        <v>693089</v>
      </c>
      <c r="G196" s="65"/>
      <c r="H196" s="66"/>
      <c r="I196" s="66"/>
      <c r="J196" s="66"/>
      <c r="K196" s="66"/>
      <c r="L196" s="66"/>
      <c r="M196" s="66"/>
    </row>
    <row r="197" spans="1:13" outlineLevel="7">
      <c r="A197" s="8" t="s">
        <v>160</v>
      </c>
      <c r="B197" s="34" t="s">
        <v>36</v>
      </c>
      <c r="C197" s="84" t="s">
        <v>200</v>
      </c>
      <c r="D197" s="119" t="s">
        <v>22</v>
      </c>
      <c r="E197" s="23" t="s">
        <v>78</v>
      </c>
      <c r="F197" s="66">
        <v>38506.199999999997</v>
      </c>
      <c r="G197" s="65"/>
      <c r="H197" s="66"/>
      <c r="I197" s="66"/>
      <c r="J197" s="66"/>
      <c r="K197" s="66"/>
      <c r="L197" s="66"/>
      <c r="M197" s="66"/>
    </row>
    <row r="198" spans="1:13" outlineLevel="7">
      <c r="A198" s="8" t="s">
        <v>160</v>
      </c>
      <c r="B198" s="34" t="s">
        <v>36</v>
      </c>
      <c r="C198" s="84" t="s">
        <v>200</v>
      </c>
      <c r="D198" s="119" t="s">
        <v>22</v>
      </c>
      <c r="E198" s="23" t="s">
        <v>54</v>
      </c>
      <c r="F198" s="66">
        <v>15000.02</v>
      </c>
      <c r="G198" s="65">
        <v>15000</v>
      </c>
      <c r="H198" s="66"/>
      <c r="I198" s="66"/>
      <c r="J198" s="66"/>
      <c r="K198" s="66"/>
      <c r="L198" s="66"/>
      <c r="M198" s="66"/>
    </row>
    <row r="199" spans="1:13" outlineLevel="7">
      <c r="A199" s="8" t="s">
        <v>161</v>
      </c>
      <c r="B199" s="34" t="s">
        <v>36</v>
      </c>
      <c r="C199" s="84" t="s">
        <v>200</v>
      </c>
      <c r="D199" s="119" t="s">
        <v>22</v>
      </c>
      <c r="E199" s="23" t="s">
        <v>46</v>
      </c>
      <c r="F199" s="66"/>
      <c r="G199" s="65"/>
      <c r="H199" s="66"/>
      <c r="I199" s="66"/>
      <c r="J199" s="66"/>
      <c r="K199" s="66"/>
      <c r="L199" s="66"/>
      <c r="M199" s="66"/>
    </row>
    <row r="200" spans="1:13" outlineLevel="7">
      <c r="A200" s="8" t="s">
        <v>162</v>
      </c>
      <c r="B200" s="34" t="s">
        <v>36</v>
      </c>
      <c r="C200" s="84" t="s">
        <v>200</v>
      </c>
      <c r="D200" s="119" t="s">
        <v>22</v>
      </c>
      <c r="E200" s="23" t="s">
        <v>78</v>
      </c>
      <c r="F200" s="66">
        <v>38506</v>
      </c>
      <c r="G200" s="65"/>
      <c r="H200" s="66"/>
      <c r="I200" s="66"/>
      <c r="J200" s="66"/>
      <c r="K200" s="66"/>
      <c r="L200" s="66"/>
      <c r="M200" s="66"/>
    </row>
    <row r="201" spans="1:13" ht="18" customHeight="1" outlineLevel="7">
      <c r="A201" s="187" t="s">
        <v>288</v>
      </c>
      <c r="B201" s="114"/>
      <c r="C201" s="45"/>
      <c r="D201" s="97"/>
      <c r="E201" s="23"/>
      <c r="F201" s="66">
        <f t="shared" ref="F201" si="82">SUM(F202:F205)</f>
        <v>0</v>
      </c>
      <c r="G201" s="66">
        <f t="shared" ref="G201:M201" si="83">SUM(G202:G205)</f>
        <v>0</v>
      </c>
      <c r="H201" s="66">
        <f t="shared" si="83"/>
        <v>599800</v>
      </c>
      <c r="I201" s="66">
        <f t="shared" si="83"/>
        <v>0</v>
      </c>
      <c r="J201" s="66">
        <f t="shared" si="83"/>
        <v>0</v>
      </c>
      <c r="K201" s="66">
        <f t="shared" si="83"/>
        <v>59980</v>
      </c>
      <c r="L201" s="66">
        <f t="shared" si="83"/>
        <v>0</v>
      </c>
      <c r="M201" s="66">
        <f t="shared" si="83"/>
        <v>0</v>
      </c>
    </row>
    <row r="202" spans="1:13" outlineLevel="7">
      <c r="A202" s="8" t="s">
        <v>159</v>
      </c>
      <c r="B202" s="34" t="s">
        <v>36</v>
      </c>
      <c r="C202" s="209" t="s">
        <v>201</v>
      </c>
      <c r="D202" s="119" t="s">
        <v>22</v>
      </c>
      <c r="E202" s="23" t="s">
        <v>164</v>
      </c>
      <c r="F202" s="66"/>
      <c r="G202" s="65"/>
      <c r="H202" s="208">
        <v>539820</v>
      </c>
      <c r="I202" s="66"/>
      <c r="J202" s="66"/>
      <c r="K202" s="66"/>
      <c r="L202" s="66"/>
      <c r="M202" s="66"/>
    </row>
    <row r="203" spans="1:13" outlineLevel="7">
      <c r="A203" s="8" t="s">
        <v>160</v>
      </c>
      <c r="B203" s="34" t="s">
        <v>36</v>
      </c>
      <c r="C203" s="209" t="s">
        <v>201</v>
      </c>
      <c r="D203" s="119" t="s">
        <v>22</v>
      </c>
      <c r="E203" s="23" t="s">
        <v>78</v>
      </c>
      <c r="F203" s="66"/>
      <c r="G203" s="65"/>
      <c r="H203" s="66">
        <v>29990</v>
      </c>
      <c r="I203" s="66"/>
      <c r="J203" s="66"/>
      <c r="K203" s="208">
        <f>29990</f>
        <v>29990</v>
      </c>
      <c r="L203" s="66"/>
      <c r="M203" s="66"/>
    </row>
    <row r="204" spans="1:13" outlineLevel="7">
      <c r="A204" s="8" t="s">
        <v>161</v>
      </c>
      <c r="B204" s="34" t="s">
        <v>36</v>
      </c>
      <c r="C204" s="209" t="s">
        <v>201</v>
      </c>
      <c r="D204" s="119" t="s">
        <v>22</v>
      </c>
      <c r="E204" s="23" t="s">
        <v>46</v>
      </c>
      <c r="F204" s="66"/>
      <c r="G204" s="65"/>
      <c r="H204" s="66"/>
      <c r="I204" s="66"/>
      <c r="J204" s="66"/>
      <c r="K204" s="66"/>
      <c r="L204" s="66"/>
      <c r="M204" s="66"/>
    </row>
    <row r="205" spans="1:13" outlineLevel="7">
      <c r="A205" s="8" t="s">
        <v>162</v>
      </c>
      <c r="B205" s="34" t="s">
        <v>36</v>
      </c>
      <c r="C205" s="209" t="s">
        <v>201</v>
      </c>
      <c r="D205" s="119" t="s">
        <v>22</v>
      </c>
      <c r="E205" s="23" t="s">
        <v>78</v>
      </c>
      <c r="F205" s="66"/>
      <c r="G205" s="65"/>
      <c r="H205" s="208">
        <v>29990</v>
      </c>
      <c r="I205" s="66"/>
      <c r="J205" s="66"/>
      <c r="K205" s="208">
        <f>29990</f>
        <v>29990</v>
      </c>
      <c r="L205" s="66"/>
      <c r="M205" s="66"/>
    </row>
    <row r="206" spans="1:13" ht="25.5" customHeight="1" outlineLevel="7">
      <c r="A206" s="146" t="s">
        <v>158</v>
      </c>
      <c r="B206" s="147"/>
      <c r="C206" s="148"/>
      <c r="D206" s="147"/>
      <c r="E206" s="147"/>
      <c r="F206" s="149">
        <f t="shared" ref="F206:M206" si="84">F207</f>
        <v>31600</v>
      </c>
      <c r="G206" s="149">
        <f t="shared" si="84"/>
        <v>20800</v>
      </c>
      <c r="H206" s="149">
        <f t="shared" si="84"/>
        <v>31400</v>
      </c>
      <c r="I206" s="149">
        <f t="shared" si="84"/>
        <v>32500</v>
      </c>
      <c r="J206" s="149">
        <f t="shared" si="84"/>
        <v>33700</v>
      </c>
      <c r="K206" s="149">
        <f t="shared" si="84"/>
        <v>31400</v>
      </c>
      <c r="L206" s="149">
        <f t="shared" si="84"/>
        <v>32500</v>
      </c>
      <c r="M206" s="149">
        <f t="shared" si="84"/>
        <v>33700</v>
      </c>
    </row>
    <row r="207" spans="1:13">
      <c r="A207" s="143" t="s">
        <v>48</v>
      </c>
      <c r="B207" s="144"/>
      <c r="C207" s="145"/>
      <c r="D207" s="144"/>
      <c r="E207" s="144"/>
      <c r="F207" s="75">
        <f t="shared" ref="F207:M207" si="85">F208</f>
        <v>31600</v>
      </c>
      <c r="G207" s="75">
        <f t="shared" si="85"/>
        <v>20800</v>
      </c>
      <c r="H207" s="75">
        <f t="shared" si="85"/>
        <v>31400</v>
      </c>
      <c r="I207" s="75">
        <f t="shared" si="85"/>
        <v>32500</v>
      </c>
      <c r="J207" s="75">
        <f t="shared" si="85"/>
        <v>33700</v>
      </c>
      <c r="K207" s="75">
        <f t="shared" si="85"/>
        <v>31400</v>
      </c>
      <c r="L207" s="75">
        <f t="shared" si="85"/>
        <v>32500</v>
      </c>
      <c r="M207" s="75">
        <f t="shared" si="85"/>
        <v>33700</v>
      </c>
    </row>
    <row r="208" spans="1:13" ht="25.5">
      <c r="A208" s="7" t="s">
        <v>49</v>
      </c>
      <c r="B208" s="17" t="s">
        <v>50</v>
      </c>
      <c r="C208" s="18"/>
      <c r="D208" s="17"/>
      <c r="E208" s="17"/>
      <c r="F208" s="61">
        <f>F209+F210</f>
        <v>31600</v>
      </c>
      <c r="G208" s="61">
        <f t="shared" ref="G208:M208" si="86">G209+G210</f>
        <v>20800</v>
      </c>
      <c r="H208" s="61">
        <f t="shared" si="86"/>
        <v>31400</v>
      </c>
      <c r="I208" s="61">
        <f t="shared" si="86"/>
        <v>32500</v>
      </c>
      <c r="J208" s="61">
        <f t="shared" si="86"/>
        <v>33700</v>
      </c>
      <c r="K208" s="61">
        <f t="shared" si="86"/>
        <v>31400</v>
      </c>
      <c r="L208" s="61">
        <f t="shared" si="86"/>
        <v>32500</v>
      </c>
      <c r="M208" s="61">
        <f t="shared" si="86"/>
        <v>33700</v>
      </c>
    </row>
    <row r="209" spans="1:13">
      <c r="A209" s="4" t="s">
        <v>51</v>
      </c>
      <c r="B209" s="19" t="s">
        <v>50</v>
      </c>
      <c r="C209" s="46" t="s">
        <v>61</v>
      </c>
      <c r="D209" s="19" t="s">
        <v>18</v>
      </c>
      <c r="E209" s="19" t="s">
        <v>52</v>
      </c>
      <c r="F209" s="63">
        <v>24270</v>
      </c>
      <c r="G209" s="64">
        <v>15975.51</v>
      </c>
      <c r="H209" s="63">
        <v>24117</v>
      </c>
      <c r="I209" s="63">
        <v>24962</v>
      </c>
      <c r="J209" s="63">
        <v>25883</v>
      </c>
      <c r="K209" s="63">
        <v>24117</v>
      </c>
      <c r="L209" s="63">
        <v>24962</v>
      </c>
      <c r="M209" s="63">
        <v>25883</v>
      </c>
    </row>
    <row r="210" spans="1:13">
      <c r="A210" s="4" t="s">
        <v>53</v>
      </c>
      <c r="B210" s="19" t="s">
        <v>50</v>
      </c>
      <c r="C210" s="46" t="s">
        <v>61</v>
      </c>
      <c r="D210" s="19" t="s">
        <v>55</v>
      </c>
      <c r="E210" s="19" t="s">
        <v>52</v>
      </c>
      <c r="F210" s="63">
        <v>7330</v>
      </c>
      <c r="G210" s="64">
        <v>4824.49</v>
      </c>
      <c r="H210" s="63">
        <v>7283</v>
      </c>
      <c r="I210" s="63">
        <v>7538</v>
      </c>
      <c r="J210" s="63">
        <v>7817</v>
      </c>
      <c r="K210" s="63">
        <v>7283</v>
      </c>
      <c r="L210" s="63">
        <v>7538</v>
      </c>
      <c r="M210" s="63">
        <v>7817</v>
      </c>
    </row>
    <row r="211" spans="1:13">
      <c r="F211" s="6"/>
      <c r="G211" s="6"/>
      <c r="H211" s="6"/>
      <c r="I211" s="6"/>
      <c r="J211" s="6"/>
      <c r="K211" s="6"/>
      <c r="L211" s="6"/>
      <c r="M211" s="6"/>
    </row>
    <row r="212" spans="1:13">
      <c r="F212" s="6"/>
      <c r="G212" s="6"/>
      <c r="H212" s="6"/>
      <c r="I212" s="6"/>
      <c r="J212" s="6"/>
      <c r="K212" s="6"/>
      <c r="L212" s="6"/>
      <c r="M212" s="6"/>
    </row>
    <row r="213" spans="1:13">
      <c r="A213" s="13" t="s">
        <v>180</v>
      </c>
      <c r="F213" s="6"/>
      <c r="G213" s="6"/>
      <c r="H213" s="6"/>
      <c r="I213" s="6"/>
      <c r="J213" s="6"/>
      <c r="K213" s="6"/>
      <c r="L213" s="6"/>
      <c r="M213" s="6"/>
    </row>
    <row r="214" spans="1:13">
      <c r="F214" s="6"/>
      <c r="G214" s="6"/>
      <c r="H214" s="6"/>
      <c r="I214" s="6"/>
      <c r="J214" s="6"/>
      <c r="K214" s="6"/>
      <c r="L214" s="6"/>
      <c r="M214" s="6"/>
    </row>
    <row r="215" spans="1:13">
      <c r="F215" s="6"/>
      <c r="G215" s="6"/>
      <c r="H215" s="6"/>
      <c r="I215" s="6"/>
      <c r="J215" s="6"/>
      <c r="K215" s="6"/>
      <c r="L215" s="6"/>
      <c r="M215" s="6"/>
    </row>
    <row r="216" spans="1:13">
      <c r="F216" s="6"/>
      <c r="G216" s="6"/>
      <c r="H216" s="6"/>
      <c r="I216" s="6"/>
      <c r="J216" s="6"/>
      <c r="K216" s="6"/>
      <c r="L216" s="6"/>
      <c r="M216" s="6"/>
    </row>
    <row r="217" spans="1:13">
      <c r="F217" s="6"/>
      <c r="G217" s="6"/>
      <c r="H217" s="6"/>
      <c r="I217" s="6"/>
      <c r="J217" s="6"/>
      <c r="K217" s="6"/>
      <c r="L217" s="6"/>
      <c r="M217" s="6"/>
    </row>
    <row r="218" spans="1:13">
      <c r="A218" s="13" t="s">
        <v>91</v>
      </c>
      <c r="F218" s="6"/>
      <c r="G218" s="6"/>
      <c r="H218" s="6"/>
      <c r="I218" s="6"/>
      <c r="J218" s="6"/>
      <c r="K218" s="6"/>
      <c r="L218" s="6"/>
      <c r="M218" s="6"/>
    </row>
    <row r="219" spans="1:13">
      <c r="F219" s="6"/>
      <c r="G219" s="6"/>
      <c r="H219" s="6"/>
      <c r="I219" s="6"/>
      <c r="J219" s="6"/>
      <c r="K219" s="6"/>
      <c r="L219" s="6"/>
      <c r="M219" s="6"/>
    </row>
    <row r="220" spans="1:13">
      <c r="F220" s="6"/>
      <c r="G220" s="6"/>
      <c r="H220" s="6"/>
      <c r="I220" s="6"/>
      <c r="J220" s="6"/>
      <c r="K220" s="6"/>
      <c r="L220" s="6"/>
      <c r="M220" s="6"/>
    </row>
    <row r="221" spans="1:13">
      <c r="F221" s="6"/>
      <c r="G221" s="6"/>
      <c r="H221" s="6"/>
      <c r="I221" s="6"/>
      <c r="J221" s="6"/>
      <c r="K221" s="6"/>
      <c r="L221" s="6"/>
      <c r="M221" s="6"/>
    </row>
    <row r="222" spans="1:13">
      <c r="F222" s="6"/>
      <c r="G222" s="6"/>
      <c r="H222" s="6"/>
      <c r="I222" s="6"/>
      <c r="J222" s="6"/>
      <c r="K222" s="6"/>
      <c r="L222" s="6"/>
      <c r="M222" s="6"/>
    </row>
    <row r="223" spans="1:13">
      <c r="F223" s="6"/>
      <c r="G223" s="6"/>
      <c r="H223" s="6"/>
      <c r="I223" s="6"/>
      <c r="J223" s="6"/>
      <c r="K223" s="6"/>
      <c r="L223" s="6"/>
      <c r="M223" s="6"/>
    </row>
    <row r="224" spans="1:13">
      <c r="F224" s="6"/>
      <c r="G224" s="6"/>
      <c r="H224" s="6"/>
      <c r="I224" s="6"/>
      <c r="J224" s="6"/>
      <c r="K224" s="6"/>
      <c r="L224" s="6"/>
      <c r="M224" s="6"/>
    </row>
    <row r="225" spans="6:13">
      <c r="F225" s="6"/>
      <c r="G225" s="6"/>
      <c r="H225" s="6"/>
      <c r="I225" s="6"/>
      <c r="J225" s="6"/>
      <c r="K225" s="6"/>
      <c r="L225" s="6"/>
      <c r="M225" s="6"/>
    </row>
    <row r="226" spans="6:13">
      <c r="F226" s="6"/>
      <c r="G226" s="6"/>
      <c r="H226" s="6"/>
      <c r="I226" s="6"/>
      <c r="J226" s="6"/>
      <c r="K226" s="6"/>
      <c r="L226" s="6"/>
      <c r="M226" s="6"/>
    </row>
    <row r="227" spans="6:13">
      <c r="F227" s="6"/>
      <c r="G227" s="6"/>
      <c r="H227" s="6"/>
      <c r="I227" s="6"/>
      <c r="J227" s="6"/>
      <c r="K227" s="6"/>
      <c r="L227" s="6"/>
      <c r="M227" s="6"/>
    </row>
    <row r="228" spans="6:13">
      <c r="F228" s="6"/>
      <c r="G228" s="6"/>
      <c r="H228" s="6"/>
      <c r="I228" s="6"/>
      <c r="J228" s="6"/>
      <c r="K228" s="6"/>
      <c r="L228" s="6"/>
      <c r="M228" s="6"/>
    </row>
    <row r="229" spans="6:13">
      <c r="F229" s="6"/>
      <c r="G229" s="6"/>
      <c r="H229" s="6"/>
      <c r="I229" s="6"/>
      <c r="J229" s="6"/>
      <c r="K229" s="6"/>
      <c r="L229" s="6"/>
      <c r="M229" s="6"/>
    </row>
    <row r="230" spans="6:13">
      <c r="F230" s="6"/>
      <c r="G230" s="6"/>
      <c r="H230" s="6"/>
      <c r="I230" s="6"/>
      <c r="J230" s="6"/>
      <c r="K230" s="6"/>
      <c r="L230" s="6"/>
      <c r="M230" s="6"/>
    </row>
    <row r="231" spans="6:13">
      <c r="F231" s="6"/>
      <c r="G231" s="6"/>
      <c r="H231" s="6"/>
      <c r="I231" s="6"/>
      <c r="J231" s="6"/>
      <c r="K231" s="6"/>
      <c r="L231" s="6"/>
      <c r="M231" s="6"/>
    </row>
    <row r="232" spans="6:13">
      <c r="F232" s="6"/>
      <c r="G232" s="6"/>
      <c r="H232" s="6"/>
      <c r="I232" s="6"/>
      <c r="J232" s="6"/>
      <c r="K232" s="6"/>
      <c r="L232" s="6"/>
      <c r="M232" s="6"/>
    </row>
    <row r="233" spans="6:13">
      <c r="F233" s="6"/>
      <c r="G233" s="6"/>
      <c r="H233" s="6"/>
      <c r="I233" s="6"/>
      <c r="J233" s="6"/>
      <c r="K233" s="6"/>
      <c r="L233" s="6"/>
      <c r="M233" s="6"/>
    </row>
    <row r="234" spans="6:13">
      <c r="F234" s="6"/>
      <c r="G234" s="6"/>
      <c r="H234" s="6"/>
      <c r="I234" s="6"/>
      <c r="J234" s="6"/>
      <c r="K234" s="6"/>
      <c r="L234" s="6"/>
      <c r="M234" s="6"/>
    </row>
  </sheetData>
  <sheetProtection selectLockedCells="1" selectUnlockedCells="1"/>
  <mergeCells count="19">
    <mergeCell ref="B19:E19"/>
    <mergeCell ref="B97:E97"/>
    <mergeCell ref="B99:E99"/>
    <mergeCell ref="B109:E109"/>
    <mergeCell ref="B6:E6"/>
    <mergeCell ref="B8:E8"/>
    <mergeCell ref="B9:E9"/>
    <mergeCell ref="B12:E12"/>
    <mergeCell ref="B13:E13"/>
    <mergeCell ref="B15:E15"/>
    <mergeCell ref="A1:M1"/>
    <mergeCell ref="A2:M2"/>
    <mergeCell ref="A3:M3"/>
    <mergeCell ref="A4:A5"/>
    <mergeCell ref="B4:E4"/>
    <mergeCell ref="F4:F5"/>
    <mergeCell ref="G4:G5"/>
    <mergeCell ref="H4:J4"/>
    <mergeCell ref="K4:M4"/>
  </mergeCells>
  <pageMargins left="0" right="0" top="0.39370078740157483" bottom="0.19685039370078741" header="0.51181102362204722" footer="0.31496062992125984"/>
  <pageSetup paperSize="9" scale="73" firstPageNumber="0" fitToHeight="200" orientation="landscape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B9" sqref="B9:E10"/>
    </sheetView>
  </sheetViews>
  <sheetFormatPr defaultRowHeight="15"/>
  <cols>
    <col min="1" max="1" width="29.7109375" style="175" customWidth="1"/>
    <col min="2" max="2" width="15.28515625" style="175" customWidth="1"/>
    <col min="3" max="3" width="12.42578125" style="175" customWidth="1"/>
    <col min="4" max="4" width="16" style="175" customWidth="1"/>
    <col min="5" max="5" width="20.140625" style="175" customWidth="1"/>
    <col min="6" max="16384" width="9.140625" style="175"/>
  </cols>
  <sheetData>
    <row r="1" spans="1:6" ht="15.75">
      <c r="A1" s="263" t="s">
        <v>199</v>
      </c>
      <c r="B1" s="263"/>
      <c r="C1" s="263"/>
      <c r="D1" s="263"/>
      <c r="E1" s="263"/>
      <c r="F1" s="189"/>
    </row>
    <row r="2" spans="1:6" ht="15.75">
      <c r="A2" s="189"/>
      <c r="B2" s="189"/>
      <c r="C2" s="189"/>
      <c r="D2" s="189"/>
      <c r="E2" s="189"/>
      <c r="F2" s="189"/>
    </row>
    <row r="3" spans="1:6" ht="15.75">
      <c r="A3" s="189"/>
      <c r="B3" s="189"/>
      <c r="C3" s="189"/>
      <c r="D3" s="189"/>
      <c r="E3" s="189"/>
      <c r="F3" s="189"/>
    </row>
    <row r="4" spans="1:6" ht="31.5">
      <c r="A4" s="190"/>
      <c r="B4" s="191" t="s">
        <v>238</v>
      </c>
      <c r="C4" s="191" t="s">
        <v>189</v>
      </c>
      <c r="D4" s="191" t="s">
        <v>190</v>
      </c>
      <c r="E4" s="191" t="s">
        <v>191</v>
      </c>
      <c r="F4" s="189"/>
    </row>
    <row r="5" spans="1:6" ht="24.75" customHeight="1">
      <c r="A5" s="264" t="s">
        <v>239</v>
      </c>
      <c r="B5" s="265"/>
      <c r="C5" s="265"/>
      <c r="D5" s="265"/>
      <c r="E5" s="266"/>
      <c r="F5" s="189"/>
    </row>
    <row r="6" spans="1:6" ht="15.75">
      <c r="A6" s="264" t="s">
        <v>192</v>
      </c>
      <c r="B6" s="265"/>
      <c r="C6" s="265"/>
      <c r="D6" s="265"/>
      <c r="E6" s="266"/>
      <c r="F6" s="189"/>
    </row>
    <row r="7" spans="1:6" ht="15.75">
      <c r="A7" s="192" t="s">
        <v>193</v>
      </c>
      <c r="B7" s="203">
        <v>10823</v>
      </c>
      <c r="C7" s="204">
        <v>37</v>
      </c>
      <c r="D7" s="204">
        <f>B7*C7</f>
        <v>400451</v>
      </c>
      <c r="E7" s="205">
        <f>D7*30.2%</f>
        <v>120936.20199999999</v>
      </c>
      <c r="F7" s="189"/>
    </row>
    <row r="8" spans="1:6" ht="15.75">
      <c r="A8" s="264" t="s">
        <v>194</v>
      </c>
      <c r="B8" s="265"/>
      <c r="C8" s="265"/>
      <c r="D8" s="265"/>
      <c r="E8" s="266"/>
      <c r="F8" s="189"/>
    </row>
    <row r="9" spans="1:6" ht="15.75">
      <c r="A9" s="190" t="s">
        <v>195</v>
      </c>
      <c r="B9" s="204">
        <v>7213</v>
      </c>
      <c r="C9" s="204">
        <v>37</v>
      </c>
      <c r="D9" s="204">
        <f t="shared" ref="D9:D10" si="0">B9*C9</f>
        <v>266881</v>
      </c>
      <c r="E9" s="205">
        <f t="shared" ref="E9:E12" si="1">D9*30.2%</f>
        <v>80598.061999999991</v>
      </c>
      <c r="F9" s="189"/>
    </row>
    <row r="10" spans="1:6" ht="15.75">
      <c r="A10" s="190" t="s">
        <v>196</v>
      </c>
      <c r="B10" s="204">
        <v>2478</v>
      </c>
      <c r="C10" s="206">
        <v>34.5</v>
      </c>
      <c r="D10" s="204">
        <f t="shared" si="0"/>
        <v>85491</v>
      </c>
      <c r="E10" s="205">
        <f t="shared" si="1"/>
        <v>25818.281999999999</v>
      </c>
      <c r="F10" s="189"/>
    </row>
    <row r="11" spans="1:6" ht="15.75">
      <c r="A11" s="261" t="s">
        <v>197</v>
      </c>
      <c r="B11" s="262"/>
      <c r="C11" s="262"/>
      <c r="D11" s="193">
        <f>SUM(D9:D10)</f>
        <v>352372</v>
      </c>
      <c r="E11" s="194">
        <f t="shared" si="1"/>
        <v>106416.344</v>
      </c>
      <c r="F11" s="189"/>
    </row>
    <row r="12" spans="1:6" ht="15.75">
      <c r="A12" s="261" t="s">
        <v>198</v>
      </c>
      <c r="B12" s="262"/>
      <c r="C12" s="262"/>
      <c r="D12" s="193">
        <f>D7+D11</f>
        <v>752823</v>
      </c>
      <c r="E12" s="194">
        <f t="shared" si="1"/>
        <v>227352.546</v>
      </c>
      <c r="F12" s="189"/>
    </row>
    <row r="13" spans="1:6" ht="15.75">
      <c r="A13" s="189"/>
      <c r="B13" s="189"/>
      <c r="C13" s="189"/>
      <c r="D13" s="189"/>
      <c r="E13" s="189"/>
      <c r="F13" s="189"/>
    </row>
    <row r="14" spans="1:6" ht="15.75">
      <c r="A14" s="189"/>
      <c r="B14" s="189"/>
      <c r="C14" s="189"/>
      <c r="D14" s="189"/>
      <c r="E14" s="189"/>
      <c r="F14" s="189"/>
    </row>
    <row r="15" spans="1:6" ht="15.75">
      <c r="A15" s="189"/>
      <c r="B15" s="189"/>
      <c r="C15" s="189"/>
      <c r="D15" s="189"/>
      <c r="E15" s="189"/>
      <c r="F15" s="189"/>
    </row>
    <row r="16" spans="1:6" ht="15.75">
      <c r="A16" s="189"/>
      <c r="B16" s="189"/>
      <c r="C16" s="189"/>
      <c r="D16" s="189"/>
      <c r="E16" s="189"/>
      <c r="F16" s="189"/>
    </row>
    <row r="17" spans="1:6" ht="15.75">
      <c r="A17" s="189"/>
      <c r="B17" s="189"/>
      <c r="C17" s="189"/>
      <c r="D17" s="189"/>
      <c r="E17" s="189"/>
      <c r="F17" s="189"/>
    </row>
    <row r="18" spans="1:6" ht="15.75">
      <c r="A18" s="189"/>
      <c r="B18" s="189"/>
      <c r="C18" s="189"/>
      <c r="D18" s="189"/>
      <c r="E18" s="189"/>
      <c r="F18" s="189"/>
    </row>
    <row r="19" spans="1:6" ht="15.75">
      <c r="A19" s="189"/>
      <c r="B19" s="189"/>
      <c r="C19" s="189"/>
      <c r="D19" s="189"/>
      <c r="E19" s="189"/>
      <c r="F19" s="189"/>
    </row>
  </sheetData>
  <mergeCells count="6">
    <mergeCell ref="A12:C12"/>
    <mergeCell ref="A11:C11"/>
    <mergeCell ref="A1:E1"/>
    <mergeCell ref="A5:E5"/>
    <mergeCell ref="A6:E6"/>
    <mergeCell ref="A8:E8"/>
  </mergeCells>
  <pageMargins left="0.39370078740157483" right="0.11811023622047245" top="0.15748031496062992" bottom="0.15748031496062992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J34"/>
  <sheetViews>
    <sheetView topLeftCell="A4" workbookViewId="0">
      <selection activeCell="B11" sqref="B11"/>
    </sheetView>
  </sheetViews>
  <sheetFormatPr defaultRowHeight="12.75"/>
  <sheetData>
    <row r="2" spans="1:10" ht="15">
      <c r="A2" s="270" t="s">
        <v>281</v>
      </c>
      <c r="B2" s="270"/>
      <c r="C2" s="270"/>
      <c r="D2" s="270"/>
      <c r="E2" s="270"/>
      <c r="F2" s="270"/>
      <c r="G2" s="270"/>
      <c r="H2" s="270"/>
      <c r="I2" s="270"/>
      <c r="J2" s="175"/>
    </row>
    <row r="3" spans="1:10" ht="15">
      <c r="A3" s="175"/>
      <c r="B3" s="175"/>
      <c r="C3" s="175"/>
      <c r="D3" s="175"/>
      <c r="E3" s="175"/>
      <c r="F3" s="175"/>
      <c r="G3" s="175"/>
      <c r="H3" s="175"/>
      <c r="I3" s="175"/>
      <c r="J3" s="175"/>
    </row>
    <row r="4" spans="1:10" ht="15">
      <c r="A4" s="175"/>
      <c r="B4" s="175"/>
      <c r="C4" s="175"/>
      <c r="D4" s="175"/>
      <c r="E4" s="175"/>
      <c r="F4" s="175"/>
      <c r="G4" s="175"/>
      <c r="H4" s="175"/>
      <c r="I4" s="175"/>
      <c r="J4" s="175"/>
    </row>
    <row r="5" spans="1:10" ht="75">
      <c r="A5" s="215"/>
      <c r="B5" s="216" t="s">
        <v>266</v>
      </c>
      <c r="C5" s="216" t="s">
        <v>189</v>
      </c>
      <c r="D5" s="216" t="s">
        <v>267</v>
      </c>
      <c r="E5" s="216" t="s">
        <v>268</v>
      </c>
      <c r="F5" s="216" t="s">
        <v>269</v>
      </c>
      <c r="G5" s="216" t="s">
        <v>267</v>
      </c>
      <c r="H5" s="216" t="s">
        <v>268</v>
      </c>
      <c r="I5" s="216" t="s">
        <v>190</v>
      </c>
      <c r="J5" s="217" t="s">
        <v>191</v>
      </c>
    </row>
    <row r="6" spans="1:10" ht="15">
      <c r="A6" s="271" t="s">
        <v>270</v>
      </c>
      <c r="B6" s="272"/>
      <c r="C6" s="272"/>
      <c r="D6" s="272"/>
      <c r="E6" s="272"/>
      <c r="F6" s="272"/>
      <c r="G6" s="272"/>
      <c r="H6" s="272"/>
      <c r="I6" s="273"/>
      <c r="J6" s="218"/>
    </row>
    <row r="7" spans="1:10" ht="15">
      <c r="A7" s="274" t="s">
        <v>271</v>
      </c>
      <c r="B7" s="274"/>
      <c r="C7" s="274"/>
      <c r="D7" s="274"/>
      <c r="E7" s="274"/>
      <c r="F7" s="274"/>
      <c r="G7" s="274"/>
      <c r="H7" s="274"/>
      <c r="I7" s="274"/>
      <c r="J7" s="218"/>
    </row>
    <row r="8" spans="1:10" ht="45">
      <c r="A8" s="219" t="s">
        <v>193</v>
      </c>
      <c r="B8" s="220">
        <v>10823</v>
      </c>
      <c r="C8" s="221">
        <v>37</v>
      </c>
      <c r="D8" s="221">
        <v>9</v>
      </c>
      <c r="E8" s="221">
        <f>B8*C8/12*D8</f>
        <v>300338.25</v>
      </c>
      <c r="F8" s="222">
        <v>1.04</v>
      </c>
      <c r="G8" s="221">
        <v>3</v>
      </c>
      <c r="H8" s="221">
        <f>B8*F8*C8/12*G8</f>
        <v>104117.26000000001</v>
      </c>
      <c r="I8" s="221">
        <f>E8+H8</f>
        <v>404455.51</v>
      </c>
      <c r="J8" s="223">
        <f>I8*30.2%</f>
        <v>122145.56402000001</v>
      </c>
    </row>
    <row r="9" spans="1:10" ht="15">
      <c r="A9" s="274" t="s">
        <v>194</v>
      </c>
      <c r="B9" s="274"/>
      <c r="C9" s="274"/>
      <c r="D9" s="274"/>
      <c r="E9" s="274"/>
      <c r="F9" s="274"/>
      <c r="G9" s="274"/>
      <c r="H9" s="274"/>
      <c r="I9" s="274"/>
      <c r="J9" s="218"/>
    </row>
    <row r="10" spans="1:10" ht="60">
      <c r="A10" s="218" t="s">
        <v>195</v>
      </c>
      <c r="B10" s="221">
        <v>7213</v>
      </c>
      <c r="C10" s="221">
        <v>37</v>
      </c>
      <c r="D10" s="221">
        <v>9</v>
      </c>
      <c r="E10" s="221">
        <f>B10*C10/12*D10</f>
        <v>200160.75</v>
      </c>
      <c r="F10" s="222">
        <v>1.04</v>
      </c>
      <c r="G10" s="221">
        <v>3</v>
      </c>
      <c r="H10" s="221">
        <f>B10*F10*C10/12*G10</f>
        <v>69389.06</v>
      </c>
      <c r="I10" s="221">
        <f>E10+H10</f>
        <v>269549.81</v>
      </c>
      <c r="J10" s="223">
        <f t="shared" ref="J10:J14" si="0">I10*30.2%</f>
        <v>81404.042619999993</v>
      </c>
    </row>
    <row r="11" spans="1:10" ht="15">
      <c r="A11" s="215" t="s">
        <v>272</v>
      </c>
      <c r="B11" s="221"/>
      <c r="C11" s="221">
        <v>37</v>
      </c>
      <c r="D11" s="221">
        <v>9</v>
      </c>
      <c r="E11" s="221">
        <f t="shared" ref="E11:E12" si="1">B11*C11/12*D11</f>
        <v>0</v>
      </c>
      <c r="F11" s="222">
        <v>1.04</v>
      </c>
      <c r="G11" s="221">
        <v>3</v>
      </c>
      <c r="H11" s="221">
        <f t="shared" ref="H11:H12" si="2">B11*F11*C11/12*G11</f>
        <v>0</v>
      </c>
      <c r="I11" s="221">
        <f t="shared" ref="I11:I12" si="3">E11+H11</f>
        <v>0</v>
      </c>
      <c r="J11" s="223">
        <f t="shared" si="0"/>
        <v>0</v>
      </c>
    </row>
    <row r="12" spans="1:10" ht="15">
      <c r="A12" s="215" t="s">
        <v>196</v>
      </c>
      <c r="B12" s="221">
        <v>2479</v>
      </c>
      <c r="C12" s="224">
        <v>34.5</v>
      </c>
      <c r="D12" s="221">
        <v>9</v>
      </c>
      <c r="E12" s="221">
        <f t="shared" si="1"/>
        <v>64144.125</v>
      </c>
      <c r="F12" s="222">
        <v>1.04</v>
      </c>
      <c r="G12" s="221">
        <v>3</v>
      </c>
      <c r="H12" s="221">
        <f t="shared" si="2"/>
        <v>22236.63</v>
      </c>
      <c r="I12" s="221">
        <f t="shared" si="3"/>
        <v>86380.755000000005</v>
      </c>
      <c r="J12" s="223">
        <f t="shared" si="0"/>
        <v>26086.988010000001</v>
      </c>
    </row>
    <row r="13" spans="1:10" ht="15">
      <c r="A13" s="267" t="s">
        <v>197</v>
      </c>
      <c r="B13" s="268"/>
      <c r="C13" s="268"/>
      <c r="D13" s="268"/>
      <c r="E13" s="268"/>
      <c r="F13" s="268"/>
      <c r="G13" s="268"/>
      <c r="H13" s="269"/>
      <c r="I13" s="225">
        <f>SUM(I10:I12)</f>
        <v>355930.565</v>
      </c>
      <c r="J13" s="226">
        <f t="shared" si="0"/>
        <v>107491.03062999999</v>
      </c>
    </row>
    <row r="14" spans="1:10" ht="15">
      <c r="A14" s="267" t="s">
        <v>198</v>
      </c>
      <c r="B14" s="268"/>
      <c r="C14" s="268"/>
      <c r="D14" s="268"/>
      <c r="E14" s="268"/>
      <c r="F14" s="268"/>
      <c r="G14" s="268"/>
      <c r="H14" s="269"/>
      <c r="I14" s="225">
        <f>I8+I13</f>
        <v>760386.07499999995</v>
      </c>
      <c r="J14" s="226">
        <f t="shared" si="0"/>
        <v>229636.59464999998</v>
      </c>
    </row>
    <row r="15" spans="1:10" ht="15">
      <c r="A15" s="271" t="s">
        <v>273</v>
      </c>
      <c r="B15" s="275"/>
      <c r="C15" s="275"/>
      <c r="D15" s="275"/>
      <c r="E15" s="275"/>
      <c r="F15" s="275"/>
      <c r="G15" s="275"/>
      <c r="H15" s="275"/>
      <c r="I15" s="276"/>
      <c r="J15" s="175"/>
    </row>
    <row r="16" spans="1:10" ht="75">
      <c r="A16" s="227"/>
      <c r="B16" s="216" t="s">
        <v>274</v>
      </c>
      <c r="C16" s="216" t="s">
        <v>275</v>
      </c>
      <c r="D16" s="216" t="s">
        <v>267</v>
      </c>
      <c r="E16" s="216" t="s">
        <v>268</v>
      </c>
      <c r="F16" s="216" t="s">
        <v>276</v>
      </c>
      <c r="G16" s="216" t="s">
        <v>267</v>
      </c>
      <c r="H16" s="216" t="s">
        <v>268</v>
      </c>
      <c r="I16" s="216" t="s">
        <v>190</v>
      </c>
      <c r="J16" s="217" t="s">
        <v>191</v>
      </c>
    </row>
    <row r="17" spans="1:10" ht="15">
      <c r="A17" s="274" t="s">
        <v>193</v>
      </c>
      <c r="B17" s="274"/>
      <c r="C17" s="274"/>
      <c r="D17" s="274"/>
      <c r="E17" s="274"/>
      <c r="F17" s="274"/>
      <c r="G17" s="274"/>
      <c r="H17" s="274"/>
      <c r="I17" s="274"/>
      <c r="J17" s="215"/>
    </row>
    <row r="18" spans="1:10" ht="15">
      <c r="A18" s="228" t="s">
        <v>193</v>
      </c>
      <c r="B18" s="221">
        <f>B8*F8</f>
        <v>11255.92</v>
      </c>
      <c r="C18" s="221">
        <v>37</v>
      </c>
      <c r="D18" s="221">
        <v>9</v>
      </c>
      <c r="E18" s="221">
        <f>B18*C18/12*D18</f>
        <v>312351.78000000003</v>
      </c>
      <c r="F18" s="222">
        <v>1.04</v>
      </c>
      <c r="G18" s="221">
        <v>3</v>
      </c>
      <c r="H18" s="221">
        <f>B18*F18*C18/12*G18</f>
        <v>108281.9504</v>
      </c>
      <c r="I18" s="221">
        <f>E18+H18</f>
        <v>420633.7304</v>
      </c>
      <c r="J18" s="223">
        <f t="shared" ref="J18:J24" si="4">I18*30.2%</f>
        <v>127031.3865808</v>
      </c>
    </row>
    <row r="19" spans="1:10" ht="15">
      <c r="A19" s="274" t="s">
        <v>277</v>
      </c>
      <c r="B19" s="274"/>
      <c r="C19" s="274"/>
      <c r="D19" s="274"/>
      <c r="E19" s="274"/>
      <c r="F19" s="274"/>
      <c r="G19" s="274"/>
      <c r="H19" s="274"/>
      <c r="I19" s="274"/>
      <c r="J19" s="223"/>
    </row>
    <row r="20" spans="1:10" ht="15">
      <c r="A20" s="215" t="s">
        <v>195</v>
      </c>
      <c r="B20" s="221">
        <f>B10*F10</f>
        <v>7501.52</v>
      </c>
      <c r="C20" s="221">
        <v>37</v>
      </c>
      <c r="D20" s="221">
        <v>9</v>
      </c>
      <c r="E20" s="221">
        <f>B20*C20/12*D20</f>
        <v>208167.18</v>
      </c>
      <c r="F20" s="222">
        <v>1.04</v>
      </c>
      <c r="G20" s="221">
        <v>3</v>
      </c>
      <c r="H20" s="221">
        <f>B20*F20*C20/12*G20</f>
        <v>72164.622400000007</v>
      </c>
      <c r="I20" s="221">
        <f t="shared" ref="I20:I22" si="5">E20+H20</f>
        <v>280331.80239999999</v>
      </c>
      <c r="J20" s="223">
        <f t="shared" si="4"/>
        <v>84660.204324799997</v>
      </c>
    </row>
    <row r="21" spans="1:10" ht="15">
      <c r="A21" s="215" t="s">
        <v>272</v>
      </c>
      <c r="B21" s="221">
        <f>B11*F11</f>
        <v>0</v>
      </c>
      <c r="C21" s="221">
        <v>37</v>
      </c>
      <c r="D21" s="221">
        <v>9</v>
      </c>
      <c r="E21" s="221">
        <f t="shared" ref="E21:E22" si="6">B21*C21/12*D21</f>
        <v>0</v>
      </c>
      <c r="F21" s="222">
        <v>1.04</v>
      </c>
      <c r="G21" s="221">
        <v>3</v>
      </c>
      <c r="H21" s="221">
        <f t="shared" ref="H21:H22" si="7">B21*F21*C21/12*G21</f>
        <v>0</v>
      </c>
      <c r="I21" s="221">
        <f t="shared" si="5"/>
        <v>0</v>
      </c>
      <c r="J21" s="223">
        <f t="shared" si="4"/>
        <v>0</v>
      </c>
    </row>
    <row r="22" spans="1:10" ht="15">
      <c r="A22" s="215" t="s">
        <v>196</v>
      </c>
      <c r="B22" s="221">
        <f>B12*F12+1</f>
        <v>2579.1600000000003</v>
      </c>
      <c r="C22" s="224">
        <v>34.5</v>
      </c>
      <c r="D22" s="221">
        <v>9</v>
      </c>
      <c r="E22" s="221">
        <f t="shared" si="6"/>
        <v>66735.764999999999</v>
      </c>
      <c r="F22" s="222">
        <v>1.04</v>
      </c>
      <c r="G22" s="221">
        <v>3</v>
      </c>
      <c r="H22" s="221">
        <f t="shared" si="7"/>
        <v>23135.065200000005</v>
      </c>
      <c r="I22" s="221">
        <f t="shared" si="5"/>
        <v>89870.830199999997</v>
      </c>
      <c r="J22" s="223">
        <f t="shared" si="4"/>
        <v>27140.990720399997</v>
      </c>
    </row>
    <row r="23" spans="1:10" ht="15">
      <c r="A23" s="267" t="s">
        <v>197</v>
      </c>
      <c r="B23" s="268"/>
      <c r="C23" s="268"/>
      <c r="D23" s="268"/>
      <c r="E23" s="268"/>
      <c r="F23" s="268"/>
      <c r="G23" s="268"/>
      <c r="H23" s="269"/>
      <c r="I23" s="225">
        <f>SUM(I20:I22)</f>
        <v>370202.63260000001</v>
      </c>
      <c r="J23" s="226">
        <f t="shared" si="4"/>
        <v>111801.1950452</v>
      </c>
    </row>
    <row r="24" spans="1:10" ht="15">
      <c r="A24" s="267" t="s">
        <v>198</v>
      </c>
      <c r="B24" s="268"/>
      <c r="C24" s="268"/>
      <c r="D24" s="268"/>
      <c r="E24" s="268"/>
      <c r="F24" s="268"/>
      <c r="G24" s="268"/>
      <c r="H24" s="269"/>
      <c r="I24" s="225">
        <f>I18+I23</f>
        <v>790836.36300000001</v>
      </c>
      <c r="J24" s="226">
        <f t="shared" si="4"/>
        <v>238832.581626</v>
      </c>
    </row>
    <row r="25" spans="1:10" ht="15">
      <c r="A25" s="271" t="s">
        <v>278</v>
      </c>
      <c r="B25" s="275"/>
      <c r="C25" s="275"/>
      <c r="D25" s="275"/>
      <c r="E25" s="275"/>
      <c r="F25" s="275"/>
      <c r="G25" s="275"/>
      <c r="H25" s="275"/>
      <c r="I25" s="276"/>
      <c r="J25" s="175"/>
    </row>
    <row r="26" spans="1:10" ht="90">
      <c r="A26" s="229"/>
      <c r="B26" s="216" t="s">
        <v>279</v>
      </c>
      <c r="C26" s="216" t="s">
        <v>189</v>
      </c>
      <c r="D26" s="216" t="s">
        <v>267</v>
      </c>
      <c r="E26" s="216" t="s">
        <v>268</v>
      </c>
      <c r="F26" s="216" t="s">
        <v>280</v>
      </c>
      <c r="G26" s="216" t="s">
        <v>267</v>
      </c>
      <c r="H26" s="216" t="s">
        <v>268</v>
      </c>
      <c r="I26" s="216" t="s">
        <v>190</v>
      </c>
      <c r="J26" s="217" t="s">
        <v>191</v>
      </c>
    </row>
    <row r="27" spans="1:10" ht="15">
      <c r="A27" s="274" t="s">
        <v>193</v>
      </c>
      <c r="B27" s="274"/>
      <c r="C27" s="274"/>
      <c r="D27" s="274"/>
      <c r="E27" s="274"/>
      <c r="F27" s="274"/>
      <c r="G27" s="274"/>
      <c r="H27" s="274"/>
      <c r="I27" s="274"/>
      <c r="J27" s="215"/>
    </row>
    <row r="28" spans="1:10" ht="15">
      <c r="A28" s="228" t="s">
        <v>193</v>
      </c>
      <c r="B28" s="221">
        <f>B18*F18+1</f>
        <v>11707.156800000001</v>
      </c>
      <c r="C28" s="221">
        <v>37</v>
      </c>
      <c r="D28" s="221">
        <v>9</v>
      </c>
      <c r="E28" s="221">
        <f>B28*C28/12*D28</f>
        <v>324873.60120000003</v>
      </c>
      <c r="F28" s="222">
        <v>1.04</v>
      </c>
      <c r="G28" s="221">
        <v>3</v>
      </c>
      <c r="H28" s="221">
        <f>B28*F28*C28/12*G28</f>
        <v>112622.84841600002</v>
      </c>
      <c r="I28" s="221">
        <f t="shared" ref="I28" si="8">E28+H28</f>
        <v>437496.44961600006</v>
      </c>
      <c r="J28" s="223">
        <f>I28*30.2%</f>
        <v>132123.92778403201</v>
      </c>
    </row>
    <row r="29" spans="1:10" ht="15">
      <c r="A29" s="274" t="s">
        <v>194</v>
      </c>
      <c r="B29" s="274"/>
      <c r="C29" s="274"/>
      <c r="D29" s="274"/>
      <c r="E29" s="274"/>
      <c r="F29" s="274"/>
      <c r="G29" s="274"/>
      <c r="H29" s="274"/>
      <c r="I29" s="274"/>
      <c r="J29" s="215"/>
    </row>
    <row r="30" spans="1:10" ht="15">
      <c r="A30" s="215" t="s">
        <v>195</v>
      </c>
      <c r="B30" s="221">
        <f>B20*F20+1</f>
        <v>7802.5808000000006</v>
      </c>
      <c r="C30" s="221">
        <v>37</v>
      </c>
      <c r="D30" s="221">
        <v>9</v>
      </c>
      <c r="E30" s="221">
        <f>B30*C30/12*D30</f>
        <v>216521.61720000004</v>
      </c>
      <c r="F30" s="222">
        <v>1.04</v>
      </c>
      <c r="G30" s="221">
        <v>3</v>
      </c>
      <c r="H30" s="221">
        <f>B30*F30*C30/12*G30</f>
        <v>75060.827296000003</v>
      </c>
      <c r="I30" s="221">
        <f t="shared" ref="I30:I32" si="9">E30+H30</f>
        <v>291582.44449600007</v>
      </c>
      <c r="J30" s="223">
        <f t="shared" ref="J30:J34" si="10">I30*30.2%</f>
        <v>88057.898237792018</v>
      </c>
    </row>
    <row r="31" spans="1:10" ht="15">
      <c r="A31" s="215" t="s">
        <v>272</v>
      </c>
      <c r="B31" s="221">
        <f>B21*F21</f>
        <v>0</v>
      </c>
      <c r="C31" s="221">
        <v>37</v>
      </c>
      <c r="D31" s="221">
        <v>9</v>
      </c>
      <c r="E31" s="221">
        <f t="shared" ref="E31:E32" si="11">B31*C31/12*D31</f>
        <v>0</v>
      </c>
      <c r="F31" s="222">
        <v>1.04</v>
      </c>
      <c r="G31" s="221">
        <v>3</v>
      </c>
      <c r="H31" s="221">
        <f t="shared" ref="H31:H32" si="12">B31*F31*C31/12*G31</f>
        <v>0</v>
      </c>
      <c r="I31" s="221">
        <f t="shared" si="9"/>
        <v>0</v>
      </c>
      <c r="J31" s="223">
        <f t="shared" si="10"/>
        <v>0</v>
      </c>
    </row>
    <row r="32" spans="1:10" ht="15">
      <c r="A32" s="215" t="s">
        <v>196</v>
      </c>
      <c r="B32" s="221">
        <f>B22*F22+1</f>
        <v>2683.3264000000004</v>
      </c>
      <c r="C32" s="224">
        <v>34.5</v>
      </c>
      <c r="D32" s="221">
        <v>9</v>
      </c>
      <c r="E32" s="221">
        <f t="shared" si="11"/>
        <v>69431.070600000021</v>
      </c>
      <c r="F32" s="222">
        <v>1.04</v>
      </c>
      <c r="G32" s="221">
        <v>3</v>
      </c>
      <c r="H32" s="221">
        <f t="shared" si="12"/>
        <v>24069.437808000002</v>
      </c>
      <c r="I32" s="221">
        <f t="shared" si="9"/>
        <v>93500.508408000023</v>
      </c>
      <c r="J32" s="223">
        <f t="shared" si="10"/>
        <v>28237.153539216008</v>
      </c>
    </row>
    <row r="33" spans="1:10" ht="15">
      <c r="A33" s="267" t="s">
        <v>197</v>
      </c>
      <c r="B33" s="268"/>
      <c r="C33" s="268"/>
      <c r="D33" s="268"/>
      <c r="E33" s="268"/>
      <c r="F33" s="268"/>
      <c r="G33" s="268"/>
      <c r="H33" s="269"/>
      <c r="I33" s="225">
        <f>SUM(I30:I32)</f>
        <v>385082.95290400006</v>
      </c>
      <c r="J33" s="226">
        <f t="shared" si="10"/>
        <v>116295.05177700802</v>
      </c>
    </row>
    <row r="34" spans="1:10" ht="15">
      <c r="A34" s="267" t="s">
        <v>198</v>
      </c>
      <c r="B34" s="268"/>
      <c r="C34" s="268"/>
      <c r="D34" s="268"/>
      <c r="E34" s="268"/>
      <c r="F34" s="268"/>
      <c r="G34" s="268"/>
      <c r="H34" s="269"/>
      <c r="I34" s="225">
        <f>I28+I33</f>
        <v>822579.40252000012</v>
      </c>
      <c r="J34" s="226">
        <f t="shared" si="10"/>
        <v>248418.97956104003</v>
      </c>
    </row>
  </sheetData>
  <mergeCells count="16">
    <mergeCell ref="A27:I27"/>
    <mergeCell ref="A29:I29"/>
    <mergeCell ref="A33:H33"/>
    <mergeCell ref="A34:H34"/>
    <mergeCell ref="A15:I15"/>
    <mergeCell ref="A17:I17"/>
    <mergeCell ref="A19:I19"/>
    <mergeCell ref="A23:H23"/>
    <mergeCell ref="A24:H24"/>
    <mergeCell ref="A25:I25"/>
    <mergeCell ref="A14:H14"/>
    <mergeCell ref="A2:I2"/>
    <mergeCell ref="A6:I6"/>
    <mergeCell ref="A7:I7"/>
    <mergeCell ref="A9:I9"/>
    <mergeCell ref="A13:H13"/>
  </mergeCells>
  <pageMargins left="0.70866141732283472" right="0.11811023622047245" top="0.15748031496062992" bottom="0.15748031496062992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первоначальный</vt:lpstr>
      <vt:lpstr>расчет зарплаты</vt:lpstr>
      <vt:lpstr>зарплата с индексацией</vt:lpstr>
      <vt:lpstr>первоначальный!Заголовки_для_печати</vt:lpstr>
      <vt:lpstr>первоначальный!Область_печати</vt:lpstr>
    </vt:vector>
  </TitlesOfParts>
  <Company>Министерство финансовК.О.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Windows</cp:lastModifiedBy>
  <cp:lastPrinted>2021-11-02T13:36:33Z</cp:lastPrinted>
  <dcterms:created xsi:type="dcterms:W3CDTF">2015-11-17T09:03:11Z</dcterms:created>
  <dcterms:modified xsi:type="dcterms:W3CDTF">2021-11-10T07:04:00Z</dcterms:modified>
</cp:coreProperties>
</file>