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4040" windowHeight="9435" activeTab="2"/>
  </bookViews>
  <sheets>
    <sheet name="05.10.2020" sheetId="3" r:id="rId1"/>
    <sheet name="22.10.2020 с полномоч. в МР" sheetId="5" r:id="rId2"/>
    <sheet name="02.11.2020 с дотацией" sheetId="6" r:id="rId3"/>
    <sheet name="расчет зарплаты" sheetId="4" r:id="rId4"/>
  </sheets>
  <definedNames>
    <definedName name="_xlnm.Print_Titles" localSheetId="2">'02.11.2020 с дотацией'!$4:$5</definedName>
    <definedName name="_xlnm.Print_Titles" localSheetId="0">'05.10.2020'!$4:$5</definedName>
    <definedName name="_xlnm.Print_Titles" localSheetId="1">'22.10.2020 с полномоч. в МР'!$4:$5</definedName>
    <definedName name="_xlnm.Print_Area" localSheetId="2">'02.11.2020 с дотацией'!$A$1:$M$237</definedName>
    <definedName name="_xlnm.Print_Area" localSheetId="0">'05.10.2020'!$A$1:$M$237</definedName>
    <definedName name="_xlnm.Print_Area" localSheetId="1">'22.10.2020 с полномоч. в МР'!$A$1:$M$237</definedName>
  </definedNames>
  <calcPr calcId="145621"/>
</workbook>
</file>

<file path=xl/calcChain.xml><?xml version="1.0" encoding="utf-8"?>
<calcChain xmlns="http://schemas.openxmlformats.org/spreadsheetml/2006/main">
  <c r="M169" i="6"/>
  <c r="M168"/>
  <c r="L168"/>
  <c r="M152" l="1"/>
  <c r="L151"/>
  <c r="K153"/>
  <c r="L97"/>
  <c r="L96" s="1"/>
  <c r="K34"/>
  <c r="M166"/>
  <c r="M161" s="1"/>
  <c r="K151"/>
  <c r="M67"/>
  <c r="L67"/>
  <c r="K67"/>
  <c r="K99"/>
  <c r="K161"/>
  <c r="M135"/>
  <c r="L135"/>
  <c r="K135"/>
  <c r="L161"/>
  <c r="K147" l="1"/>
  <c r="K146" s="1"/>
  <c r="M68" l="1"/>
  <c r="M60" s="1"/>
  <c r="L68"/>
  <c r="L60" s="1"/>
  <c r="K68"/>
  <c r="K60" s="1"/>
  <c r="K8"/>
  <c r="M224" l="1"/>
  <c r="L224"/>
  <c r="K224"/>
  <c r="J224"/>
  <c r="I224"/>
  <c r="H224"/>
  <c r="G224"/>
  <c r="F224"/>
  <c r="M221"/>
  <c r="L221"/>
  <c r="L218" s="1"/>
  <c r="L217" s="1"/>
  <c r="K221"/>
  <c r="K218" s="1"/>
  <c r="K217" s="1"/>
  <c r="J221"/>
  <c r="I221"/>
  <c r="I218" s="1"/>
  <c r="I217" s="1"/>
  <c r="I10" s="1"/>
  <c r="H221"/>
  <c r="G221"/>
  <c r="G218" s="1"/>
  <c r="G217" s="1"/>
  <c r="G216" s="1"/>
  <c r="F221"/>
  <c r="F218" s="1"/>
  <c r="F217" s="1"/>
  <c r="F216" s="1"/>
  <c r="J218"/>
  <c r="J217" s="1"/>
  <c r="M211"/>
  <c r="L211"/>
  <c r="K211"/>
  <c r="J211"/>
  <c r="I211"/>
  <c r="H211"/>
  <c r="G211"/>
  <c r="F211"/>
  <c r="M206"/>
  <c r="L206"/>
  <c r="K206"/>
  <c r="J206"/>
  <c r="I206"/>
  <c r="H206"/>
  <c r="G206"/>
  <c r="F206"/>
  <c r="M201"/>
  <c r="L201"/>
  <c r="K201"/>
  <c r="K200" s="1"/>
  <c r="J201"/>
  <c r="J200" s="1"/>
  <c r="I201"/>
  <c r="I200" s="1"/>
  <c r="H201"/>
  <c r="H200" s="1"/>
  <c r="G201"/>
  <c r="G200" s="1"/>
  <c r="F201"/>
  <c r="F200"/>
  <c r="M195"/>
  <c r="L195"/>
  <c r="K195"/>
  <c r="J195"/>
  <c r="I195"/>
  <c r="H195"/>
  <c r="F195"/>
  <c r="M190"/>
  <c r="L190"/>
  <c r="K190"/>
  <c r="J190"/>
  <c r="I190"/>
  <c r="H190"/>
  <c r="F190"/>
  <c r="M185"/>
  <c r="L185"/>
  <c r="K185"/>
  <c r="J185"/>
  <c r="I185"/>
  <c r="H185"/>
  <c r="F185"/>
  <c r="M180"/>
  <c r="L180"/>
  <c r="K180"/>
  <c r="J180"/>
  <c r="I180"/>
  <c r="H180"/>
  <c r="F180"/>
  <c r="G179"/>
  <c r="M177"/>
  <c r="L177"/>
  <c r="K177"/>
  <c r="J177"/>
  <c r="I177"/>
  <c r="H177"/>
  <c r="G177"/>
  <c r="F177"/>
  <c r="M173"/>
  <c r="L173"/>
  <c r="K173"/>
  <c r="J173"/>
  <c r="I173"/>
  <c r="H173"/>
  <c r="G173"/>
  <c r="F173"/>
  <c r="G172"/>
  <c r="F172"/>
  <c r="F169"/>
  <c r="G164"/>
  <c r="F164"/>
  <c r="F163"/>
  <c r="F162"/>
  <c r="J161"/>
  <c r="I161"/>
  <c r="H161"/>
  <c r="M156"/>
  <c r="L156"/>
  <c r="K156"/>
  <c r="J156"/>
  <c r="I156"/>
  <c r="H156"/>
  <c r="G156"/>
  <c r="F156"/>
  <c r="F153"/>
  <c r="F152"/>
  <c r="F148"/>
  <c r="M147"/>
  <c r="M146" s="1"/>
  <c r="L147"/>
  <c r="L146" s="1"/>
  <c r="J147"/>
  <c r="I147"/>
  <c r="H147"/>
  <c r="G147"/>
  <c r="J146"/>
  <c r="I146"/>
  <c r="H146"/>
  <c r="G146"/>
  <c r="M143"/>
  <c r="L143"/>
  <c r="K143"/>
  <c r="J143"/>
  <c r="I143"/>
  <c r="H143"/>
  <c r="G143"/>
  <c r="F143"/>
  <c r="J135"/>
  <c r="I135"/>
  <c r="H135"/>
  <c r="G135"/>
  <c r="F135"/>
  <c r="M130"/>
  <c r="L130"/>
  <c r="K130"/>
  <c r="J130"/>
  <c r="I130"/>
  <c r="H130"/>
  <c r="G130"/>
  <c r="F130"/>
  <c r="M126"/>
  <c r="L126"/>
  <c r="K126"/>
  <c r="J126"/>
  <c r="I126"/>
  <c r="H126"/>
  <c r="G126"/>
  <c r="F126"/>
  <c r="M122"/>
  <c r="L122"/>
  <c r="K122"/>
  <c r="J122"/>
  <c r="I122"/>
  <c r="H122"/>
  <c r="G122"/>
  <c r="F122"/>
  <c r="M118"/>
  <c r="L118"/>
  <c r="K118"/>
  <c r="J118"/>
  <c r="I118"/>
  <c r="H118"/>
  <c r="G118"/>
  <c r="F118"/>
  <c r="M113"/>
  <c r="L113"/>
  <c r="K113"/>
  <c r="J113"/>
  <c r="I113"/>
  <c r="H113"/>
  <c r="G113"/>
  <c r="F113"/>
  <c r="M107"/>
  <c r="L107"/>
  <c r="K107"/>
  <c r="J107"/>
  <c r="I107"/>
  <c r="H107"/>
  <c r="G107"/>
  <c r="F107"/>
  <c r="M106"/>
  <c r="L106"/>
  <c r="K106"/>
  <c r="J106"/>
  <c r="I106"/>
  <c r="H106"/>
  <c r="G106"/>
  <c r="F106"/>
  <c r="M99"/>
  <c r="L99"/>
  <c r="L95" s="1"/>
  <c r="J99"/>
  <c r="I99"/>
  <c r="H99"/>
  <c r="G99"/>
  <c r="F99"/>
  <c r="M96"/>
  <c r="K96"/>
  <c r="K95" s="1"/>
  <c r="J96"/>
  <c r="I96"/>
  <c r="I95" s="1"/>
  <c r="H96"/>
  <c r="G96"/>
  <c r="F96"/>
  <c r="F95" s="1"/>
  <c r="J95"/>
  <c r="M93"/>
  <c r="L93"/>
  <c r="K93"/>
  <c r="J93"/>
  <c r="I93"/>
  <c r="H93"/>
  <c r="G93"/>
  <c r="F93"/>
  <c r="M89"/>
  <c r="L89"/>
  <c r="K89"/>
  <c r="J89"/>
  <c r="I89"/>
  <c r="H89"/>
  <c r="G89"/>
  <c r="F89"/>
  <c r="M86"/>
  <c r="L86"/>
  <c r="K86"/>
  <c r="J86"/>
  <c r="I86"/>
  <c r="H86"/>
  <c r="G86"/>
  <c r="F86"/>
  <c r="M83"/>
  <c r="L83"/>
  <c r="K83"/>
  <c r="J83"/>
  <c r="I83"/>
  <c r="H83"/>
  <c r="G83"/>
  <c r="F83"/>
  <c r="M78"/>
  <c r="L78"/>
  <c r="K78"/>
  <c r="J78"/>
  <c r="I78"/>
  <c r="H78"/>
  <c r="G78"/>
  <c r="F78"/>
  <c r="M73"/>
  <c r="L73"/>
  <c r="K73"/>
  <c r="J73"/>
  <c r="I73"/>
  <c r="H73"/>
  <c r="G73"/>
  <c r="F73"/>
  <c r="M70"/>
  <c r="L70"/>
  <c r="K70"/>
  <c r="J70"/>
  <c r="I70"/>
  <c r="H70"/>
  <c r="G70"/>
  <c r="F70"/>
  <c r="J60"/>
  <c r="I60"/>
  <c r="H60"/>
  <c r="G60"/>
  <c r="F60"/>
  <c r="F58"/>
  <c r="F57"/>
  <c r="M56"/>
  <c r="L56"/>
  <c r="K56"/>
  <c r="J56"/>
  <c r="I56"/>
  <c r="H56"/>
  <c r="G56"/>
  <c r="G54"/>
  <c r="F54"/>
  <c r="F49"/>
  <c r="F47"/>
  <c r="F44"/>
  <c r="F43"/>
  <c r="F41"/>
  <c r="M38"/>
  <c r="L38"/>
  <c r="K38"/>
  <c r="J38"/>
  <c r="I38"/>
  <c r="H38"/>
  <c r="H25" s="1"/>
  <c r="G38"/>
  <c r="M31"/>
  <c r="L31"/>
  <c r="K31"/>
  <c r="J31"/>
  <c r="I31"/>
  <c r="H31"/>
  <c r="G31"/>
  <c r="F31"/>
  <c r="M28"/>
  <c r="L28"/>
  <c r="K28"/>
  <c r="J28"/>
  <c r="I28"/>
  <c r="H28"/>
  <c r="G28"/>
  <c r="F28"/>
  <c r="M22"/>
  <c r="L22"/>
  <c r="K22"/>
  <c r="J22"/>
  <c r="I22"/>
  <c r="H22"/>
  <c r="G22"/>
  <c r="F22"/>
  <c r="M18"/>
  <c r="L18"/>
  <c r="K18"/>
  <c r="J18"/>
  <c r="I18"/>
  <c r="H18"/>
  <c r="G18"/>
  <c r="F18"/>
  <c r="I11"/>
  <c r="G11"/>
  <c r="F11"/>
  <c r="M9"/>
  <c r="L9"/>
  <c r="K9"/>
  <c r="J9"/>
  <c r="I9"/>
  <c r="H9"/>
  <c r="F9"/>
  <c r="M8"/>
  <c r="M14" s="1"/>
  <c r="L8"/>
  <c r="L14" s="1"/>
  <c r="J8"/>
  <c r="I8"/>
  <c r="H8"/>
  <c r="G8"/>
  <c r="F8"/>
  <c r="L216" l="1"/>
  <c r="L10"/>
  <c r="L7" s="1"/>
  <c r="I25"/>
  <c r="J11"/>
  <c r="H95"/>
  <c r="M95"/>
  <c r="F147"/>
  <c r="F146" s="1"/>
  <c r="F179"/>
  <c r="K179"/>
  <c r="M179"/>
  <c r="M105" s="1"/>
  <c r="F7"/>
  <c r="G7"/>
  <c r="H17"/>
  <c r="F56"/>
  <c r="H11"/>
  <c r="G95"/>
  <c r="F161"/>
  <c r="G25"/>
  <c r="G17" s="1"/>
  <c r="M25"/>
  <c r="M17" s="1"/>
  <c r="H179"/>
  <c r="L179"/>
  <c r="M200"/>
  <c r="M218"/>
  <c r="M217" s="1"/>
  <c r="M10" s="1"/>
  <c r="F38"/>
  <c r="G161"/>
  <c r="G105" s="1"/>
  <c r="I179"/>
  <c r="I105" s="1"/>
  <c r="K25"/>
  <c r="F105"/>
  <c r="J179"/>
  <c r="J105" s="1"/>
  <c r="L25"/>
  <c r="L17" s="1"/>
  <c r="J25"/>
  <c r="J17" s="1"/>
  <c r="L200"/>
  <c r="H218"/>
  <c r="H217" s="1"/>
  <c r="H10" s="1"/>
  <c r="H7" s="1"/>
  <c r="L11"/>
  <c r="M11"/>
  <c r="K11"/>
  <c r="K105"/>
  <c r="K17"/>
  <c r="H105"/>
  <c r="I17"/>
  <c r="I7"/>
  <c r="J216"/>
  <c r="J10"/>
  <c r="J7" s="1"/>
  <c r="K10"/>
  <c r="K216"/>
  <c r="I216"/>
  <c r="G16"/>
  <c r="K16" l="1"/>
  <c r="G13"/>
  <c r="G6" s="1"/>
  <c r="H216"/>
  <c r="L105"/>
  <c r="L13" s="1"/>
  <c r="L15" s="1"/>
  <c r="F25"/>
  <c r="F17" s="1"/>
  <c r="M16"/>
  <c r="M7"/>
  <c r="L16"/>
  <c r="K7"/>
  <c r="M216"/>
  <c r="M13" s="1"/>
  <c r="M15" s="1"/>
  <c r="I13"/>
  <c r="H13"/>
  <c r="H6" s="1"/>
  <c r="J16"/>
  <c r="J13"/>
  <c r="I16"/>
  <c r="K13"/>
  <c r="K6" s="1"/>
  <c r="H16"/>
  <c r="J6"/>
  <c r="I6"/>
  <c r="F16" l="1"/>
  <c r="F13"/>
  <c r="F6" s="1"/>
  <c r="L6"/>
  <c r="M6"/>
  <c r="L8" i="5"/>
  <c r="M224"/>
  <c r="L224"/>
  <c r="K224"/>
  <c r="M221"/>
  <c r="L221"/>
  <c r="K221"/>
  <c r="K218" s="1"/>
  <c r="K217" s="1"/>
  <c r="M211"/>
  <c r="L211"/>
  <c r="K211"/>
  <c r="M206"/>
  <c r="L206"/>
  <c r="K206"/>
  <c r="M201"/>
  <c r="M200" s="1"/>
  <c r="L201"/>
  <c r="K201"/>
  <c r="M195"/>
  <c r="L195"/>
  <c r="K195"/>
  <c r="M190"/>
  <c r="L190"/>
  <c r="K190"/>
  <c r="M185"/>
  <c r="L185"/>
  <c r="K185"/>
  <c r="M180"/>
  <c r="L180"/>
  <c r="K180"/>
  <c r="M177"/>
  <c r="L177"/>
  <c r="K177"/>
  <c r="M173"/>
  <c r="L173"/>
  <c r="K173"/>
  <c r="M161"/>
  <c r="L161"/>
  <c r="K161"/>
  <c r="M156"/>
  <c r="L156"/>
  <c r="K156"/>
  <c r="M147"/>
  <c r="M146" s="1"/>
  <c r="L147"/>
  <c r="L146" s="1"/>
  <c r="K147"/>
  <c r="K146" s="1"/>
  <c r="M143"/>
  <c r="L143"/>
  <c r="K143"/>
  <c r="M135"/>
  <c r="L135"/>
  <c r="K135"/>
  <c r="M130"/>
  <c r="L130"/>
  <c r="K130"/>
  <c r="M126"/>
  <c r="L126"/>
  <c r="K126"/>
  <c r="M122"/>
  <c r="L122"/>
  <c r="K122"/>
  <c r="M118"/>
  <c r="L118"/>
  <c r="K118"/>
  <c r="M113"/>
  <c r="M106" s="1"/>
  <c r="L113"/>
  <c r="K113"/>
  <c r="M107"/>
  <c r="L107"/>
  <c r="K107"/>
  <c r="M99"/>
  <c r="L99"/>
  <c r="K99"/>
  <c r="M96"/>
  <c r="M95" s="1"/>
  <c r="L96"/>
  <c r="K96"/>
  <c r="M93"/>
  <c r="L93"/>
  <c r="K93"/>
  <c r="M89"/>
  <c r="L89"/>
  <c r="K89"/>
  <c r="M86"/>
  <c r="L86"/>
  <c r="K86"/>
  <c r="M83"/>
  <c r="L83"/>
  <c r="K83"/>
  <c r="M78"/>
  <c r="L78"/>
  <c r="K78"/>
  <c r="M73"/>
  <c r="L73"/>
  <c r="K73"/>
  <c r="M70"/>
  <c r="L70"/>
  <c r="K70"/>
  <c r="M60"/>
  <c r="L60"/>
  <c r="K60"/>
  <c r="M56"/>
  <c r="L56"/>
  <c r="K56"/>
  <c r="M38"/>
  <c r="L38"/>
  <c r="K38"/>
  <c r="M31"/>
  <c r="L31"/>
  <c r="K31"/>
  <c r="M28"/>
  <c r="L28"/>
  <c r="K28"/>
  <c r="M22"/>
  <c r="L22"/>
  <c r="K22"/>
  <c r="M18"/>
  <c r="L18"/>
  <c r="K18"/>
  <c r="M9"/>
  <c r="L9"/>
  <c r="K9"/>
  <c r="M8"/>
  <c r="K8"/>
  <c r="J224"/>
  <c r="I224"/>
  <c r="I218" s="1"/>
  <c r="I217" s="1"/>
  <c r="H224"/>
  <c r="G224"/>
  <c r="F224"/>
  <c r="J221"/>
  <c r="J218" s="1"/>
  <c r="J217" s="1"/>
  <c r="I221"/>
  <c r="H221"/>
  <c r="G221"/>
  <c r="F221"/>
  <c r="F218" s="1"/>
  <c r="F217" s="1"/>
  <c r="F216" s="1"/>
  <c r="J211"/>
  <c r="I211"/>
  <c r="H211"/>
  <c r="G211"/>
  <c r="F211"/>
  <c r="J206"/>
  <c r="I206"/>
  <c r="H206"/>
  <c r="G206"/>
  <c r="F206"/>
  <c r="J201"/>
  <c r="I201"/>
  <c r="H201"/>
  <c r="G201"/>
  <c r="F201"/>
  <c r="G200"/>
  <c r="J195"/>
  <c r="I195"/>
  <c r="H195"/>
  <c r="F195"/>
  <c r="J190"/>
  <c r="I190"/>
  <c r="H190"/>
  <c r="F190"/>
  <c r="J185"/>
  <c r="I185"/>
  <c r="H185"/>
  <c r="F185"/>
  <c r="J180"/>
  <c r="I180"/>
  <c r="I179" s="1"/>
  <c r="H180"/>
  <c r="H179" s="1"/>
  <c r="F180"/>
  <c r="G179"/>
  <c r="J177"/>
  <c r="I177"/>
  <c r="H177"/>
  <c r="G177"/>
  <c r="F177"/>
  <c r="J173"/>
  <c r="I173"/>
  <c r="H173"/>
  <c r="G173"/>
  <c r="F173"/>
  <c r="G172"/>
  <c r="G161" s="1"/>
  <c r="F172"/>
  <c r="F169"/>
  <c r="G164"/>
  <c r="F164"/>
  <c r="F163"/>
  <c r="F162"/>
  <c r="J161"/>
  <c r="I161"/>
  <c r="H161"/>
  <c r="J156"/>
  <c r="I156"/>
  <c r="H156"/>
  <c r="G156"/>
  <c r="F156"/>
  <c r="F153"/>
  <c r="F152"/>
  <c r="F148"/>
  <c r="J147"/>
  <c r="I147"/>
  <c r="I146" s="1"/>
  <c r="H147"/>
  <c r="G147"/>
  <c r="G146" s="1"/>
  <c r="J146"/>
  <c r="H146"/>
  <c r="J143"/>
  <c r="I143"/>
  <c r="H143"/>
  <c r="G143"/>
  <c r="F143"/>
  <c r="J135"/>
  <c r="I135"/>
  <c r="H135"/>
  <c r="G135"/>
  <c r="F135"/>
  <c r="J130"/>
  <c r="I130"/>
  <c r="H130"/>
  <c r="G130"/>
  <c r="F130"/>
  <c r="J126"/>
  <c r="I126"/>
  <c r="H126"/>
  <c r="G126"/>
  <c r="F126"/>
  <c r="J122"/>
  <c r="I122"/>
  <c r="H122"/>
  <c r="G122"/>
  <c r="F122"/>
  <c r="J118"/>
  <c r="I118"/>
  <c r="I106" s="1"/>
  <c r="I11" s="1"/>
  <c r="H118"/>
  <c r="G118"/>
  <c r="F118"/>
  <c r="J113"/>
  <c r="I113"/>
  <c r="H113"/>
  <c r="G113"/>
  <c r="F113"/>
  <c r="J107"/>
  <c r="I107"/>
  <c r="H107"/>
  <c r="G107"/>
  <c r="F107"/>
  <c r="J99"/>
  <c r="I99"/>
  <c r="H99"/>
  <c r="G99"/>
  <c r="F99"/>
  <c r="J96"/>
  <c r="I96"/>
  <c r="H96"/>
  <c r="G96"/>
  <c r="F96"/>
  <c r="F95" s="1"/>
  <c r="J93"/>
  <c r="I93"/>
  <c r="H93"/>
  <c r="G93"/>
  <c r="F93"/>
  <c r="J89"/>
  <c r="I89"/>
  <c r="H89"/>
  <c r="G89"/>
  <c r="F89"/>
  <c r="J86"/>
  <c r="I86"/>
  <c r="H86"/>
  <c r="G86"/>
  <c r="F86"/>
  <c r="J83"/>
  <c r="I83"/>
  <c r="H83"/>
  <c r="G83"/>
  <c r="F83"/>
  <c r="J78"/>
  <c r="I78"/>
  <c r="H78"/>
  <c r="G78"/>
  <c r="F78"/>
  <c r="J73"/>
  <c r="I73"/>
  <c r="H73"/>
  <c r="G73"/>
  <c r="F73"/>
  <c r="J70"/>
  <c r="I70"/>
  <c r="H70"/>
  <c r="G70"/>
  <c r="F70"/>
  <c r="J60"/>
  <c r="I60"/>
  <c r="H60"/>
  <c r="G60"/>
  <c r="F60"/>
  <c r="F58"/>
  <c r="F57"/>
  <c r="J56"/>
  <c r="I56"/>
  <c r="H56"/>
  <c r="G56"/>
  <c r="G54"/>
  <c r="G25" s="1"/>
  <c r="F54"/>
  <c r="F49"/>
  <c r="F47"/>
  <c r="F44"/>
  <c r="F43"/>
  <c r="F41"/>
  <c r="J38"/>
  <c r="I38"/>
  <c r="H38"/>
  <c r="G38"/>
  <c r="J31"/>
  <c r="I31"/>
  <c r="H31"/>
  <c r="G31"/>
  <c r="F31"/>
  <c r="J28"/>
  <c r="J25" s="1"/>
  <c r="I28"/>
  <c r="H28"/>
  <c r="G28"/>
  <c r="F28"/>
  <c r="J22"/>
  <c r="I22"/>
  <c r="H22"/>
  <c r="G22"/>
  <c r="F22"/>
  <c r="J18"/>
  <c r="I18"/>
  <c r="H18"/>
  <c r="G18"/>
  <c r="F18"/>
  <c r="G11"/>
  <c r="G7" s="1"/>
  <c r="F11"/>
  <c r="J9"/>
  <c r="I9"/>
  <c r="H9"/>
  <c r="F9"/>
  <c r="J8"/>
  <c r="I8"/>
  <c r="H8"/>
  <c r="G8"/>
  <c r="F8"/>
  <c r="F7" s="1"/>
  <c r="J8" i="3"/>
  <c r="I8"/>
  <c r="H8"/>
  <c r="F169"/>
  <c r="F163"/>
  <c r="F162"/>
  <c r="F172"/>
  <c r="F164"/>
  <c r="G164"/>
  <c r="G172"/>
  <c r="F152"/>
  <c r="F148"/>
  <c r="F153"/>
  <c r="M143"/>
  <c r="L143"/>
  <c r="K143"/>
  <c r="J143"/>
  <c r="I143"/>
  <c r="H143"/>
  <c r="G143"/>
  <c r="F143"/>
  <c r="G17" i="5" l="1"/>
  <c r="F147"/>
  <c r="F146" s="1"/>
  <c r="K200"/>
  <c r="I25"/>
  <c r="F38"/>
  <c r="I95"/>
  <c r="M25"/>
  <c r="K25"/>
  <c r="L25"/>
  <c r="L17" s="1"/>
  <c r="G95"/>
  <c r="J95"/>
  <c r="H106"/>
  <c r="G106"/>
  <c r="G105" s="1"/>
  <c r="G16" s="1"/>
  <c r="F106"/>
  <c r="J106"/>
  <c r="F200"/>
  <c r="J200"/>
  <c r="I200"/>
  <c r="I105" s="1"/>
  <c r="H200"/>
  <c r="K95"/>
  <c r="L95"/>
  <c r="M218"/>
  <c r="M217" s="1"/>
  <c r="M10" s="1"/>
  <c r="H11"/>
  <c r="J216"/>
  <c r="J10"/>
  <c r="I10"/>
  <c r="I7" s="1"/>
  <c r="I216"/>
  <c r="J11"/>
  <c r="J7" s="1"/>
  <c r="H95"/>
  <c r="H105"/>
  <c r="J179"/>
  <c r="G218"/>
  <c r="G217" s="1"/>
  <c r="G216" s="1"/>
  <c r="L106"/>
  <c r="L11" s="1"/>
  <c r="L179"/>
  <c r="H25"/>
  <c r="H17" s="1"/>
  <c r="F56"/>
  <c r="F25" s="1"/>
  <c r="F17" s="1"/>
  <c r="I17"/>
  <c r="F179"/>
  <c r="H218"/>
  <c r="H217" s="1"/>
  <c r="K106"/>
  <c r="K105" s="1"/>
  <c r="L200"/>
  <c r="L218"/>
  <c r="L217" s="1"/>
  <c r="L10" s="1"/>
  <c r="J17"/>
  <c r="M17"/>
  <c r="K11"/>
  <c r="F161"/>
  <c r="M179"/>
  <c r="M105" s="1"/>
  <c r="M16" s="1"/>
  <c r="K179"/>
  <c r="L216"/>
  <c r="K216"/>
  <c r="K10"/>
  <c r="K17"/>
  <c r="M216"/>
  <c r="M11"/>
  <c r="H10"/>
  <c r="H216"/>
  <c r="H7"/>
  <c r="F161" i="3"/>
  <c r="H16" i="5" l="1"/>
  <c r="J105"/>
  <c r="J16" s="1"/>
  <c r="I16"/>
  <c r="I13"/>
  <c r="I6" s="1"/>
  <c r="F105"/>
  <c r="F13" s="1"/>
  <c r="F6" s="1"/>
  <c r="L7"/>
  <c r="K7"/>
  <c r="G13"/>
  <c r="G6" s="1"/>
  <c r="L105"/>
  <c r="L13" s="1"/>
  <c r="M13"/>
  <c r="L6"/>
  <c r="K16"/>
  <c r="K13"/>
  <c r="M7"/>
  <c r="H13"/>
  <c r="H6" s="1"/>
  <c r="F57" i="3"/>
  <c r="F58"/>
  <c r="F54"/>
  <c r="F43"/>
  <c r="F49"/>
  <c r="F47"/>
  <c r="F44"/>
  <c r="F41"/>
  <c r="G54"/>
  <c r="G11"/>
  <c r="F11"/>
  <c r="F73"/>
  <c r="F70"/>
  <c r="G8"/>
  <c r="G7" s="1"/>
  <c r="F8"/>
  <c r="D10" i="4"/>
  <c r="D9"/>
  <c r="D7"/>
  <c r="M9" i="3"/>
  <c r="L9"/>
  <c r="K9"/>
  <c r="J9"/>
  <c r="I9"/>
  <c r="H9"/>
  <c r="M8"/>
  <c r="L8"/>
  <c r="K8"/>
  <c r="M18"/>
  <c r="L18"/>
  <c r="K18"/>
  <c r="J18"/>
  <c r="I18"/>
  <c r="H18"/>
  <c r="G18"/>
  <c r="F18"/>
  <c r="M28"/>
  <c r="L28"/>
  <c r="K28"/>
  <c r="J28"/>
  <c r="I28"/>
  <c r="H28"/>
  <c r="G28"/>
  <c r="F28"/>
  <c r="M31"/>
  <c r="L31"/>
  <c r="K31"/>
  <c r="J31"/>
  <c r="I31"/>
  <c r="H31"/>
  <c r="F31"/>
  <c r="M38"/>
  <c r="L38"/>
  <c r="K38"/>
  <c r="J38"/>
  <c r="I38"/>
  <c r="H38"/>
  <c r="M56"/>
  <c r="L56"/>
  <c r="K56"/>
  <c r="J56"/>
  <c r="I56"/>
  <c r="H56"/>
  <c r="G56"/>
  <c r="F56"/>
  <c r="M60"/>
  <c r="L60"/>
  <c r="K60"/>
  <c r="J60"/>
  <c r="I60"/>
  <c r="H60"/>
  <c r="G60"/>
  <c r="F60"/>
  <c r="M70"/>
  <c r="L70"/>
  <c r="K70"/>
  <c r="J70"/>
  <c r="I70"/>
  <c r="H70"/>
  <c r="G70"/>
  <c r="M73"/>
  <c r="L73"/>
  <c r="K73"/>
  <c r="J73"/>
  <c r="I73"/>
  <c r="H73"/>
  <c r="G73"/>
  <c r="M78"/>
  <c r="L78"/>
  <c r="K78"/>
  <c r="J78"/>
  <c r="I78"/>
  <c r="H78"/>
  <c r="G78"/>
  <c r="M99"/>
  <c r="L99"/>
  <c r="K99"/>
  <c r="J99"/>
  <c r="I99"/>
  <c r="H99"/>
  <c r="G99"/>
  <c r="F99"/>
  <c r="M118"/>
  <c r="L118"/>
  <c r="K118"/>
  <c r="J118"/>
  <c r="I118"/>
  <c r="H118"/>
  <c r="G118"/>
  <c r="F118"/>
  <c r="M113"/>
  <c r="L113"/>
  <c r="K113"/>
  <c r="J113"/>
  <c r="I113"/>
  <c r="H113"/>
  <c r="G113"/>
  <c r="F113"/>
  <c r="M107"/>
  <c r="M106" s="1"/>
  <c r="L107"/>
  <c r="L106" s="1"/>
  <c r="K107"/>
  <c r="K106" s="1"/>
  <c r="J107"/>
  <c r="I107"/>
  <c r="H107"/>
  <c r="G107"/>
  <c r="G106" s="1"/>
  <c r="F107"/>
  <c r="M122"/>
  <c r="L122"/>
  <c r="K122"/>
  <c r="J122"/>
  <c r="I122"/>
  <c r="H122"/>
  <c r="G122"/>
  <c r="M126"/>
  <c r="L126"/>
  <c r="K126"/>
  <c r="J126"/>
  <c r="I126"/>
  <c r="H126"/>
  <c r="G126"/>
  <c r="M135"/>
  <c r="L135"/>
  <c r="K135"/>
  <c r="J135"/>
  <c r="I135"/>
  <c r="H135"/>
  <c r="G135"/>
  <c r="M147"/>
  <c r="M146" s="1"/>
  <c r="L147"/>
  <c r="L146" s="1"/>
  <c r="K147"/>
  <c r="K146" s="1"/>
  <c r="J147"/>
  <c r="J146" s="1"/>
  <c r="I147"/>
  <c r="I146" s="1"/>
  <c r="H147"/>
  <c r="H146" s="1"/>
  <c r="M161"/>
  <c r="L161"/>
  <c r="K161"/>
  <c r="J161"/>
  <c r="I161"/>
  <c r="H161"/>
  <c r="G161"/>
  <c r="G179"/>
  <c r="F206"/>
  <c r="G206"/>
  <c r="H206"/>
  <c r="I206"/>
  <c r="J206"/>
  <c r="K206"/>
  <c r="L206"/>
  <c r="M206"/>
  <c r="K6" i="5" l="1"/>
  <c r="F16"/>
  <c r="J13"/>
  <c r="J6" s="1"/>
  <c r="F106" i="3"/>
  <c r="M6" i="5"/>
  <c r="L16"/>
  <c r="F38" i="3"/>
  <c r="J106"/>
  <c r="I106"/>
  <c r="H106"/>
  <c r="M86"/>
  <c r="L86"/>
  <c r="K86"/>
  <c r="J86"/>
  <c r="I86"/>
  <c r="H86"/>
  <c r="G86"/>
  <c r="F86"/>
  <c r="M89"/>
  <c r="M11" s="1"/>
  <c r="L89"/>
  <c r="L11" s="1"/>
  <c r="K89"/>
  <c r="K11" s="1"/>
  <c r="J89"/>
  <c r="I89"/>
  <c r="H89"/>
  <c r="G89"/>
  <c r="F89"/>
  <c r="I11" l="1"/>
  <c r="J11"/>
  <c r="H11"/>
  <c r="F9"/>
  <c r="F201"/>
  <c r="G147"/>
  <c r="G146" s="1"/>
  <c r="F147"/>
  <c r="F146" s="1"/>
  <c r="F224"/>
  <c r="F221"/>
  <c r="F211"/>
  <c r="F195"/>
  <c r="F190"/>
  <c r="F185"/>
  <c r="F180"/>
  <c r="F177"/>
  <c r="F173"/>
  <c r="F156"/>
  <c r="F135"/>
  <c r="F130"/>
  <c r="F126"/>
  <c r="F122"/>
  <c r="F96"/>
  <c r="F95" s="1"/>
  <c r="F93"/>
  <c r="F83"/>
  <c r="F78"/>
  <c r="F22"/>
  <c r="H224"/>
  <c r="H221"/>
  <c r="H211"/>
  <c r="H201"/>
  <c r="H200" s="1"/>
  <c r="H195"/>
  <c r="H190"/>
  <c r="H185"/>
  <c r="H180"/>
  <c r="H177"/>
  <c r="H173"/>
  <c r="H156"/>
  <c r="H130"/>
  <c r="H96"/>
  <c r="H95" s="1"/>
  <c r="H93"/>
  <c r="H83"/>
  <c r="H22"/>
  <c r="F179" l="1"/>
  <c r="F105" s="1"/>
  <c r="H179"/>
  <c r="H105" s="1"/>
  <c r="F200"/>
  <c r="F25"/>
  <c r="F17" s="1"/>
  <c r="H25"/>
  <c r="H17" s="1"/>
  <c r="F7"/>
  <c r="F218"/>
  <c r="F217" s="1"/>
  <c r="F216" s="1"/>
  <c r="H218"/>
  <c r="H217" s="1"/>
  <c r="H16" l="1"/>
  <c r="H216"/>
  <c r="H10"/>
  <c r="H7" s="1"/>
  <c r="F16"/>
  <c r="F13"/>
  <c r="M173"/>
  <c r="L173"/>
  <c r="K173"/>
  <c r="J173"/>
  <c r="I173"/>
  <c r="G173"/>
  <c r="H13" l="1"/>
  <c r="H6" s="1"/>
  <c r="F6"/>
  <c r="E10" i="4"/>
  <c r="E7"/>
  <c r="D11" l="1"/>
  <c r="E11" s="1"/>
  <c r="E9"/>
  <c r="D12" l="1"/>
  <c r="E12" s="1"/>
  <c r="M201" i="3"/>
  <c r="M200" s="1"/>
  <c r="L201"/>
  <c r="K201"/>
  <c r="J201"/>
  <c r="I201"/>
  <c r="I200" s="1"/>
  <c r="G201"/>
  <c r="M211"/>
  <c r="L211"/>
  <c r="K211"/>
  <c r="J211"/>
  <c r="I211"/>
  <c r="G211"/>
  <c r="G200" l="1"/>
  <c r="L200"/>
  <c r="J200"/>
  <c r="K200"/>
  <c r="M195"/>
  <c r="L195"/>
  <c r="K195"/>
  <c r="J195"/>
  <c r="I195"/>
  <c r="M190"/>
  <c r="L190"/>
  <c r="K190"/>
  <c r="J190"/>
  <c r="I190"/>
  <c r="M185"/>
  <c r="L185"/>
  <c r="K185"/>
  <c r="J185"/>
  <c r="I185"/>
  <c r="M180" l="1"/>
  <c r="M179" s="1"/>
  <c r="L180"/>
  <c r="L179" s="1"/>
  <c r="K180"/>
  <c r="K179" s="1"/>
  <c r="J180"/>
  <c r="J179" s="1"/>
  <c r="I180"/>
  <c r="I179" s="1"/>
  <c r="M83" l="1"/>
  <c r="L83"/>
  <c r="K83"/>
  <c r="J83"/>
  <c r="I83"/>
  <c r="G83"/>
  <c r="M221" l="1"/>
  <c r="L221"/>
  <c r="K221"/>
  <c r="J221"/>
  <c r="I221"/>
  <c r="G221"/>
  <c r="M93"/>
  <c r="L93"/>
  <c r="K93"/>
  <c r="J93"/>
  <c r="I93"/>
  <c r="G93"/>
  <c r="M156" l="1"/>
  <c r="L156"/>
  <c r="K156"/>
  <c r="J156"/>
  <c r="I156"/>
  <c r="G156"/>
  <c r="M130"/>
  <c r="L130"/>
  <c r="K130"/>
  <c r="J130"/>
  <c r="I130"/>
  <c r="G130"/>
  <c r="M96"/>
  <c r="M95" s="1"/>
  <c r="L96"/>
  <c r="L95" s="1"/>
  <c r="K96"/>
  <c r="K95" s="1"/>
  <c r="J96"/>
  <c r="J95" s="1"/>
  <c r="I96"/>
  <c r="I95" s="1"/>
  <c r="G96"/>
  <c r="G95" s="1"/>
  <c r="M177" l="1"/>
  <c r="M105" s="1"/>
  <c r="L177"/>
  <c r="L105" s="1"/>
  <c r="K177"/>
  <c r="K105" s="1"/>
  <c r="G177"/>
  <c r="G105" s="1"/>
  <c r="M224"/>
  <c r="L224"/>
  <c r="K224"/>
  <c r="J224"/>
  <c r="I224"/>
  <c r="G224"/>
  <c r="G22"/>
  <c r="G31"/>
  <c r="G38"/>
  <c r="M22"/>
  <c r="L22"/>
  <c r="K22"/>
  <c r="J22"/>
  <c r="J177"/>
  <c r="J105" s="1"/>
  <c r="I22"/>
  <c r="I177"/>
  <c r="I105" s="1"/>
  <c r="J25" l="1"/>
  <c r="J17" s="1"/>
  <c r="J16" s="1"/>
  <c r="K25"/>
  <c r="K17" s="1"/>
  <c r="K16" s="1"/>
  <c r="M25"/>
  <c r="M17" s="1"/>
  <c r="M16" s="1"/>
  <c r="I25"/>
  <c r="I17" s="1"/>
  <c r="I16" s="1"/>
  <c r="G25"/>
  <c r="G17" s="1"/>
  <c r="L25"/>
  <c r="L17" s="1"/>
  <c r="L16" s="1"/>
  <c r="G218"/>
  <c r="G217" s="1"/>
  <c r="G216" s="1"/>
  <c r="M218"/>
  <c r="M217" s="1"/>
  <c r="I218"/>
  <c r="I217" s="1"/>
  <c r="L218"/>
  <c r="L217" s="1"/>
  <c r="K218"/>
  <c r="K217" s="1"/>
  <c r="J218"/>
  <c r="J217" s="1"/>
  <c r="L216" l="1"/>
  <c r="L10"/>
  <c r="L7" s="1"/>
  <c r="I216"/>
  <c r="I10"/>
  <c r="I7" s="1"/>
  <c r="K216"/>
  <c r="K10"/>
  <c r="K7" s="1"/>
  <c r="J216"/>
  <c r="J13" s="1"/>
  <c r="J10"/>
  <c r="J7" s="1"/>
  <c r="M216"/>
  <c r="M10"/>
  <c r="M7" s="1"/>
  <c r="G16"/>
  <c r="G13"/>
  <c r="G6" s="1"/>
  <c r="M13"/>
  <c r="L13"/>
  <c r="L15" s="1"/>
  <c r="I13"/>
  <c r="K13"/>
  <c r="K6" s="1"/>
  <c r="J6" l="1"/>
  <c r="I6"/>
  <c r="L6"/>
  <c r="M6"/>
  <c r="M15"/>
</calcChain>
</file>

<file path=xl/sharedStrings.xml><?xml version="1.0" encoding="utf-8"?>
<sst xmlns="http://schemas.openxmlformats.org/spreadsheetml/2006/main" count="1858" uniqueCount="281">
  <si>
    <t>Единица измерения: руб.</t>
  </si>
  <si>
    <t>Наименование показателя</t>
  </si>
  <si>
    <t>РП</t>
  </si>
  <si>
    <t>Ц.ст.</t>
  </si>
  <si>
    <t>ВР</t>
  </si>
  <si>
    <t>Доп.кл.</t>
  </si>
  <si>
    <t>по расчетам поселений</t>
  </si>
  <si>
    <t>к утверждению</t>
  </si>
  <si>
    <t xml:space="preserve">Дефицит (профицит бюджета) </t>
  </si>
  <si>
    <t>Трансферты за счет средств бюджета МР</t>
  </si>
  <si>
    <t>Дотация на выравнивание уровня бюджетной обеспеченности</t>
  </si>
  <si>
    <t>Расходы бюджета -  всего</t>
  </si>
  <si>
    <t>0103</t>
  </si>
  <si>
    <t>000</t>
  </si>
  <si>
    <t>Компенсационные выплаты главе поселения</t>
  </si>
  <si>
    <t>123</t>
  </si>
  <si>
    <t>канцелярские товары д/сельской Думы</t>
  </si>
  <si>
    <t>0104</t>
  </si>
  <si>
    <t>121</t>
  </si>
  <si>
    <t>возмещение расходов за использование личного транспорта</t>
  </si>
  <si>
    <t>122</t>
  </si>
  <si>
    <t>242</t>
  </si>
  <si>
    <t>244</t>
  </si>
  <si>
    <t>приобретение марок, конвертов и пересылка почтовых отправлений</t>
  </si>
  <si>
    <t>852</t>
  </si>
  <si>
    <t>членские взносы в ассоциацию МО</t>
  </si>
  <si>
    <t>853</t>
  </si>
  <si>
    <t>0107</t>
  </si>
  <si>
    <t>0111</t>
  </si>
  <si>
    <t>870</t>
  </si>
  <si>
    <t>0113</t>
  </si>
  <si>
    <t>0409</t>
  </si>
  <si>
    <t>0412</t>
  </si>
  <si>
    <t>0501</t>
  </si>
  <si>
    <t>0502</t>
  </si>
  <si>
    <t>Прочие мероприятия в области коммунального хозяйства</t>
  </si>
  <si>
    <t>0503</t>
  </si>
  <si>
    <t>приобетение электротоваров для уличного освещения</t>
  </si>
  <si>
    <t>приобретение энергосберегающих ламп, приборов учета для уличного освещения</t>
  </si>
  <si>
    <t>0801</t>
  </si>
  <si>
    <t>Расходы бюджета на передаваемые полномочия в бюджет муниципального района</t>
  </si>
  <si>
    <t>540</t>
  </si>
  <si>
    <t>0106</t>
  </si>
  <si>
    <t>0707</t>
  </si>
  <si>
    <t>1101</t>
  </si>
  <si>
    <t>Исполнение переданных полномочий за счет средств бюджета МР "Износковский район"</t>
  </si>
  <si>
    <t>11</t>
  </si>
  <si>
    <t>взносы в фонд капитального ремонта многоквртирных домов</t>
  </si>
  <si>
    <t xml:space="preserve">Расходы за счет субвенций </t>
  </si>
  <si>
    <t>Осуществление первичного воинского учета на территориях, где отсутствуют военные комиссариаты</t>
  </si>
  <si>
    <t>0203</t>
  </si>
  <si>
    <t>Заработная плата</t>
  </si>
  <si>
    <t>365</t>
  </si>
  <si>
    <t>Начисления на выплаты по оплате труда</t>
  </si>
  <si>
    <t>коммунальные услуги</t>
  </si>
  <si>
    <t>прочие работы, услуги</t>
  </si>
  <si>
    <t>приобретение основных средств</t>
  </si>
  <si>
    <t>затраты на приобретение канц. и хоз.товаров</t>
  </si>
  <si>
    <t>01</t>
  </si>
  <si>
    <t>129</t>
  </si>
  <si>
    <t>02 0 00 04110</t>
  </si>
  <si>
    <t>02 0 00 04120</t>
  </si>
  <si>
    <t>02 0 00 04130</t>
  </si>
  <si>
    <t>02 0 00 04210</t>
  </si>
  <si>
    <t>02 0 00 04140</t>
  </si>
  <si>
    <t>99 9 00 51180</t>
  </si>
  <si>
    <t xml:space="preserve">Код БК </t>
  </si>
  <si>
    <t>Прочие мероприятия в области благоустройства</t>
  </si>
  <si>
    <t>Мероприятия в области пожарной безопасности</t>
  </si>
  <si>
    <t>Мероприятия в области энергосбережения</t>
  </si>
  <si>
    <t>Оценка недвижимости, признание прав и регулирование отношений по государственной и муниципальной собственности</t>
  </si>
  <si>
    <t>Периодическая печать</t>
  </si>
  <si>
    <t>Мероприятия по поддержке и развитию малого предпринимательства</t>
  </si>
  <si>
    <t>Мероприятия в области профилактики правонарушений</t>
  </si>
  <si>
    <t>Закупка товаров, работ, услуг в сфере информационно-коммуникационных технологий</t>
  </si>
  <si>
    <t>Функционирование представительного органа власти</t>
  </si>
  <si>
    <t>Разработка прогноза социально-экономического развития территории поселения и формирование муниципального заказа</t>
  </si>
  <si>
    <t>Организация и осуществление мероприятий по работе с детьми и молодежью</t>
  </si>
  <si>
    <t>Создание условий для организации досуга и обеспечения жителей поселения услугами организаций культуры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</si>
  <si>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</si>
  <si>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 xml:space="preserve">Начисления на выплаты по оплате труда </t>
  </si>
  <si>
    <t>противопожарная опашка и окашивание</t>
  </si>
  <si>
    <t>12</t>
  </si>
  <si>
    <t>обучение по 44 ФЗ</t>
  </si>
  <si>
    <t>2021 г.</t>
  </si>
  <si>
    <t>расходы бюджета за счет собственных средств - всего</t>
  </si>
  <si>
    <t>суточные в командировке</t>
  </si>
  <si>
    <t>Прочая закупка товаров, работ и услуг</t>
  </si>
  <si>
    <t>затраты на подписку газеты "Рассвет"</t>
  </si>
  <si>
    <t>Дорожное хозяйство (за счет собственных средств)</t>
  </si>
  <si>
    <t>Внешний финансовый контроль (КСК)</t>
  </si>
  <si>
    <t>обслуживание пожарной сигнализации в здании администрации МО СП 500*12</t>
  </si>
  <si>
    <t>уплата госпошлины</t>
  </si>
  <si>
    <t>штрафы и пени по налогам</t>
  </si>
  <si>
    <t>тех.обслуживание газового обрудования в муницип. ж/ф</t>
  </si>
  <si>
    <t xml:space="preserve">ремонт муниципального жилищного фонда </t>
  </si>
  <si>
    <t>транспортные услуги</t>
  </si>
  <si>
    <t xml:space="preserve">Исполнитель: </t>
  </si>
  <si>
    <t>плата за негативное воздействие на окружающую среду</t>
  </si>
  <si>
    <t xml:space="preserve">Доходы бюджета всего </t>
  </si>
  <si>
    <t>субсидии (областные и федеральные)</t>
  </si>
  <si>
    <t xml:space="preserve">субвенции </t>
  </si>
  <si>
    <t>01 0 01 01130</t>
  </si>
  <si>
    <t xml:space="preserve">эцп </t>
  </si>
  <si>
    <t>01 0 01 01010</t>
  </si>
  <si>
    <t>01 0 01 01020</t>
  </si>
  <si>
    <t>Функционирование Главы Администрации сельского поселения</t>
  </si>
  <si>
    <t>01 0 01 01030</t>
  </si>
  <si>
    <t>Функционирование центрального аппарата администрации сельского поселения</t>
  </si>
  <si>
    <t>01 0 07 01300</t>
  </si>
  <si>
    <t>Обеспечение деятельности муниципальной избирательной комиссии</t>
  </si>
  <si>
    <t>01 0 04 01160</t>
  </si>
  <si>
    <t>01 0 03 01150</t>
  </si>
  <si>
    <t>01 0 02 01080</t>
  </si>
  <si>
    <t>Осуществление полномочий по формированию архивных фондов</t>
  </si>
  <si>
    <t>01 0 02 01040</t>
  </si>
  <si>
    <t>01 0 02 01050</t>
  </si>
  <si>
    <t>01 0 02 01060</t>
  </si>
  <si>
    <t>01 0 02 01070</t>
  </si>
  <si>
    <t>01 0 02 01090</t>
  </si>
  <si>
    <t>01 0 02 01100</t>
  </si>
  <si>
    <t>01 0 02 01110</t>
  </si>
  <si>
    <t>01 0 05 01170</t>
  </si>
  <si>
    <t>01 0 06 01220</t>
  </si>
  <si>
    <t>06 0 00 01190</t>
  </si>
  <si>
    <t>01 0 08 01870</t>
  </si>
  <si>
    <t>РЕЗЕРВ подлежащий последующему перераспределению</t>
  </si>
  <si>
    <t>05 0 01 02400</t>
  </si>
  <si>
    <r>
      <t xml:space="preserve">Исполнение переданных полномочий муниципального района на обеспечение проживающих в поселении и нуждающихся в жилых помещениях малоимущих граждан жилыми помещениями, и по </t>
    </r>
    <r>
      <rPr>
        <b/>
        <sz val="10"/>
        <rFont val="Arial Cyr"/>
        <charset val="204"/>
      </rPr>
      <t>содержанию муниципального жилищного фонда</t>
    </r>
  </si>
  <si>
    <t>05 0 01 02500</t>
  </si>
  <si>
    <t>ВЦП</t>
  </si>
  <si>
    <r>
      <t xml:space="preserve">Формирование, утверждение, исполнение бюджета поселения и контроль за исполнением данного бюджета, в части передаваемых полномочий по </t>
    </r>
    <r>
      <rPr>
        <b/>
        <i/>
        <sz val="10"/>
        <color indexed="8"/>
        <rFont val="Arial Cyr"/>
        <charset val="204"/>
      </rPr>
      <t>составлению и организации исполнения бюджета</t>
    </r>
  </si>
  <si>
    <r>
      <t>Формирование, утверждение, исполнение бюджета поселения и контроль за исполнением данного бюджета,</t>
    </r>
    <r>
      <rPr>
        <b/>
        <i/>
        <sz val="10"/>
        <color indexed="8"/>
        <rFont val="Arial Cyr"/>
        <charset val="204"/>
      </rPr>
      <t xml:space="preserve"> в части ведения бухгалтерского учета и отчетности по администрации поселения</t>
    </r>
  </si>
  <si>
    <r>
      <t xml:space="preserve">Формирование, утверждение, исполнение бюджета поселения и контроль за исполнением данного бюджета, </t>
    </r>
    <r>
      <rPr>
        <b/>
        <i/>
        <sz val="10"/>
        <color indexed="8"/>
        <rFont val="Arial Cyr"/>
        <charset val="204"/>
      </rPr>
      <t>в части внутреннего финансового контроля</t>
    </r>
  </si>
  <si>
    <r>
      <t>Исполнение переданны полномочий муниципального района по содержанию на территории муниципального района межпоселенческих</t>
    </r>
    <r>
      <rPr>
        <b/>
        <sz val="10"/>
        <rFont val="Arial Cyr"/>
        <charset val="204"/>
      </rPr>
      <t xml:space="preserve"> мест захоронений</t>
    </r>
  </si>
  <si>
    <t>05 0 01 02600</t>
  </si>
  <si>
    <t>МП "ДОРОГИ"</t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</si>
  <si>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  </r>
    <r>
      <rPr>
        <b/>
        <i/>
        <sz val="10"/>
        <rFont val="Arial Cyr"/>
        <charset val="204"/>
      </rPr>
      <t xml:space="preserve"> в части межевания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</si>
  <si>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 в границах населенных пунктов поселения</t>
    </r>
    <r>
      <rPr>
        <b/>
        <i/>
        <sz val="10"/>
        <rFont val="Arial Cyr"/>
        <charset val="204"/>
      </rPr>
      <t xml:space="preserve"> в части паспортизации автомобильных дорог</t>
    </r>
  </si>
  <si>
    <r>
      <t xml:space="preserve">Исполнение переданных полномочий муниципального района на осуществление дорожной деятельности в отношении автомобильных дорог местного значения </t>
    </r>
    <r>
      <rPr>
        <b/>
        <i/>
        <sz val="10"/>
        <rFont val="Arial Cyr"/>
        <charset val="204"/>
      </rPr>
      <t>в границах населенных пунктов поселения</t>
    </r>
    <r>
      <rPr>
        <i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в части содержания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</si>
  <si>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</t>
    </r>
    <r>
      <rPr>
        <b/>
        <i/>
        <sz val="10"/>
        <rFont val="Arial Cyr"/>
        <charset val="204"/>
      </rPr>
      <t xml:space="preserve"> вне границ населенных пунктов </t>
    </r>
    <r>
      <rPr>
        <i/>
        <sz val="10"/>
        <rFont val="Arial Cyr"/>
        <charset val="204"/>
      </rPr>
      <t xml:space="preserve">в границах муниципального района </t>
    </r>
    <r>
      <rPr>
        <b/>
        <i/>
        <sz val="10"/>
        <rFont val="Arial Cyr"/>
        <charset val="204"/>
      </rPr>
      <t>в части</t>
    </r>
    <r>
      <rPr>
        <i/>
        <sz val="10"/>
        <rFont val="Arial Cyr"/>
        <charset val="204"/>
      </rPr>
      <t xml:space="preserve"> </t>
    </r>
    <r>
      <rPr>
        <b/>
        <i/>
        <sz val="10"/>
        <rFont val="Arial Cyr"/>
        <charset val="204"/>
      </rPr>
      <t>содержания автомобильных дорог</t>
    </r>
  </si>
  <si>
    <r>
      <t>Исполнение переданных полномочий муниципального района на осуществление дорожной деятельности в отношении автомобильных дорог местного значения</t>
    </r>
    <r>
      <rPr>
        <b/>
        <i/>
        <sz val="10"/>
        <rFont val="Arial Cyr"/>
        <charset val="204"/>
      </rPr>
      <t xml:space="preserve"> в границах населенных пунктов поселения в части ремонта автомобильных дорог</t>
    </r>
  </si>
  <si>
    <r>
      <t xml:space="preserve">Исполнение переданны полномочий муниципального района по организации в границах поселения </t>
    </r>
    <r>
      <rPr>
        <b/>
        <sz val="10"/>
        <rFont val="Arial Cyr"/>
        <charset val="204"/>
      </rPr>
      <t>электро-, тепло-, газо- и водоснабжения населения</t>
    </r>
    <r>
      <rPr>
        <sz val="10"/>
        <rFont val="Arial Cyr"/>
        <charset val="204"/>
      </rPr>
      <t xml:space="preserve">, </t>
    </r>
    <r>
      <rPr>
        <b/>
        <sz val="10"/>
        <rFont val="Arial Cyr"/>
        <charset val="204"/>
      </rPr>
      <t>водоотведения, снабжения населения топливом</t>
    </r>
  </si>
  <si>
    <t>содержание дорог внутри поселения</t>
  </si>
  <si>
    <t>МП "ЖКХ"</t>
  </si>
  <si>
    <t>05 0 02 01160</t>
  </si>
  <si>
    <t xml:space="preserve">приобретение инвентаря </t>
  </si>
  <si>
    <t>05 0 02 02010</t>
  </si>
  <si>
    <r>
      <t>Мероприятия в области жилищного хозяйства</t>
    </r>
    <r>
      <rPr>
        <sz val="10"/>
        <color indexed="8"/>
        <rFont val="Arial CYR"/>
        <charset val="204"/>
      </rPr>
      <t xml:space="preserve"> (за счет собственных средств)</t>
    </r>
  </si>
  <si>
    <t>05 0 02 02020</t>
  </si>
  <si>
    <t>05 0 02 02240</t>
  </si>
  <si>
    <t>05 0 02 02250</t>
  </si>
  <si>
    <t>Организация уличного освещения</t>
  </si>
  <si>
    <t>Содержание и ремонт братских мест захоронений</t>
  </si>
  <si>
    <t xml:space="preserve">приобретение материалов </t>
  </si>
  <si>
    <t>услуги по содержанию и ремонту</t>
  </si>
  <si>
    <t>приобретение спецпродукции (цветы, венки, корзины)</t>
  </si>
  <si>
    <t>05 0 02 02270</t>
  </si>
  <si>
    <t>05 0 02 02260</t>
  </si>
  <si>
    <t>05 0 02 02300</t>
  </si>
  <si>
    <t>МП "МАЛОЕ ПРЕДПРИНИМАТЕЛЬСТВО"</t>
  </si>
  <si>
    <t>0600000000</t>
  </si>
  <si>
    <t>0200000000</t>
  </si>
  <si>
    <t>0100000000</t>
  </si>
  <si>
    <t>0500000000</t>
  </si>
  <si>
    <t>Прочие мероприятия проводимые органами местного самоуправления</t>
  </si>
  <si>
    <t>День поселения</t>
  </si>
  <si>
    <t>01 0 09 01210</t>
  </si>
  <si>
    <t>НЕПРОГРАМНЫЕ РАСХОДЫ</t>
  </si>
  <si>
    <t>приобретение оргтехники</t>
  </si>
  <si>
    <t>услуги связи</t>
  </si>
  <si>
    <t>областные средства</t>
  </si>
  <si>
    <t>средства поселения</t>
  </si>
  <si>
    <t>средства муниципального района</t>
  </si>
  <si>
    <t>средства населения</t>
  </si>
  <si>
    <t>Реализация проектов развития общественной инфраструктуры, основанных на местных инициативах (по Мин-ву финансов)</t>
  </si>
  <si>
    <t>обл</t>
  </si>
  <si>
    <t>2022 г.</t>
  </si>
  <si>
    <t xml:space="preserve">Резервный фонд </t>
  </si>
  <si>
    <t>приобретение подарочной продукции, цветов, поздравительных открыток, почетных грамот, благодарственных писем, подарков юбилярам</t>
  </si>
  <si>
    <t>оказание материальной помощи</t>
  </si>
  <si>
    <t>стимулирование участия населения в деятельности общественных организаций (добровольные дружины)</t>
  </si>
  <si>
    <t>Заработная плата 37 окладов с индексацией</t>
  </si>
  <si>
    <t>страхование добровольных пожарных дружин (___) и пожарных цистерн</t>
  </si>
  <si>
    <t>05 0 04 …..</t>
  </si>
  <si>
    <t xml:space="preserve">средства поселения </t>
  </si>
  <si>
    <t>ремонт туалета</t>
  </si>
  <si>
    <t>заправка огнетушителей 2 шт* 800 руб.</t>
  </si>
  <si>
    <t>затраты на интернет _____*12</t>
  </si>
  <si>
    <t>оценка технического состояния аварийного здания бани (предписание прокуратуры)</t>
  </si>
  <si>
    <t>проведение топографо-геодезических, картографических и землеустроительных работ (межевание земельных участка для многодетной семьи Иванова В.С)</t>
  </si>
  <si>
    <t xml:space="preserve">услуги по транспортировке пожарной цистерны </t>
  </si>
  <si>
    <t>приобретение помпы для цистерны</t>
  </si>
  <si>
    <t xml:space="preserve">текущий ремонт уличного освещения </t>
  </si>
  <si>
    <t>работы по уничтожению борщевика</t>
  </si>
  <si>
    <t>Глава администрации МО СП с.Шанский Завод                                              О.В. Губина</t>
  </si>
  <si>
    <t>Заработная плата спец-т 37окладов +техничка 34,5оклада с индексацией</t>
  </si>
  <si>
    <t>повышение оплаты труда работникам культуры (5460+1649)</t>
  </si>
  <si>
    <t>приобретение инвентаря (ранцевые огнетушители)</t>
  </si>
  <si>
    <t>в том числе: условно утвержденные расходы</t>
  </si>
  <si>
    <t>Расходы без условно утвержденных расходов</t>
  </si>
  <si>
    <t>ремонт колодцев</t>
  </si>
  <si>
    <t>содержание гражданских мест захоронений</t>
  </si>
  <si>
    <t>выполнение кадастровых работ по внесению изменений в документы территориального планирования и градостроительного зонирования</t>
  </si>
  <si>
    <t>01 0 04 S7030</t>
  </si>
  <si>
    <t>софинансирование 90% область 10 % СП федеральные ?</t>
  </si>
  <si>
    <t>норматив</t>
  </si>
  <si>
    <t>итого за год</t>
  </si>
  <si>
    <t>Начисления на оплату труда</t>
  </si>
  <si>
    <t>Глава администрации МР</t>
  </si>
  <si>
    <t>Глава администрации</t>
  </si>
  <si>
    <t xml:space="preserve">Администрация </t>
  </si>
  <si>
    <t>муниципальные служащие</t>
  </si>
  <si>
    <t>хох.блок</t>
  </si>
  <si>
    <t>ИТОГО</t>
  </si>
  <si>
    <t>ВСЕГО</t>
  </si>
  <si>
    <t>Расчет зарплаты по аппарату по МО СП с. Шанский Завод</t>
  </si>
  <si>
    <t>Реализация мероприятий ФЦП "Увековечение памяти погибших при защите Отечества"</t>
  </si>
  <si>
    <t>05 0 02 L2990</t>
  </si>
  <si>
    <t>Межбюджетные трансферты за счет субсидии из областного бюджета</t>
  </si>
  <si>
    <t>Софинансирование из бюджета поселения</t>
  </si>
  <si>
    <t>Создание универсальной спортивной площадки в с.Шанский Завод</t>
  </si>
  <si>
    <t>05 0 03 S0241</t>
  </si>
  <si>
    <t>05 0 03 S0242</t>
  </si>
  <si>
    <t>05 0 03 S0243</t>
  </si>
  <si>
    <t>Реализация общественно-значимых проектов по благоустройству сельских территорий</t>
  </si>
  <si>
    <t>РАСХОДЫ БЮДЖЕТА МО СП "Шанский Завод" на 2021- 2023 годы</t>
  </si>
  <si>
    <t>Уточненная роспись на 2020 г.</t>
  </si>
  <si>
    <t>Касс. расход на 01.10.20 г.</t>
  </si>
  <si>
    <t>2023 г.</t>
  </si>
  <si>
    <t xml:space="preserve">затраты на услуги связи (абонплата+переговоры+сотовая связь) ((260,40*12)+(2,66*136*12)+(4,42*50*12))+индексация 110% </t>
  </si>
  <si>
    <t>затраты на ТО и ремонт вычислительной техники (заправка  и восстановление картриджей 1189,25*2шт*8мес+ремонт принтера 1514,89)</t>
  </si>
  <si>
    <t>ЭЦП Астрал (лицензия на использование КРИПТО ПРО 2250, передача прав на изготовление сертификата ключей 2160)</t>
  </si>
  <si>
    <t>затраты на приобретение оргтехники (2022 год - компьютер в сборке +системный блок 90000руб.% 2023 г. принтер 3 в 1   25000руб.)</t>
  </si>
  <si>
    <t>затраты на электроснабжение 1-е полугодие 1829 квт*6,92 + 2-е полугодие 2013 квт*7,46</t>
  </si>
  <si>
    <t>текущий ремонт кабинета в здании администрации ( кабинет главы)</t>
  </si>
  <si>
    <t>затраты на вывоз ТБО (1601,9*4)</t>
  </si>
  <si>
    <t>затраты на проведение диспансеризации работников (5051,55+5883,55)</t>
  </si>
  <si>
    <t xml:space="preserve">расчет платы за негат. Возд. на окр. Среду и составление отчета (3300*4)  </t>
  </si>
  <si>
    <t>приобретение мебели (стол для заседаний 15000 руб. и стулья 6*1500)</t>
  </si>
  <si>
    <t>затраты на приобретение канц.товаров 12*1000</t>
  </si>
  <si>
    <t>затраты на приобретение хоз.товаров 6*1000</t>
  </si>
  <si>
    <t>880</t>
  </si>
  <si>
    <t>247</t>
  </si>
  <si>
    <t>Стимулирование Главы администрации (за счет средств МР)</t>
  </si>
  <si>
    <t>01 0 01 00170</t>
  </si>
  <si>
    <t>устройство уличного освещения на территории универсальной спортивной площадки в с.Шанский Завод</t>
  </si>
  <si>
    <t>05 0 04 L5760</t>
  </si>
  <si>
    <t>02 0 00 04180</t>
  </si>
  <si>
    <t>Ремонт улично-дорожной сети по д.Никулино протяженностью 1391 м.</t>
  </si>
  <si>
    <t>Ремонт улично-дорожной сети по д.Павлищево протяженностью 1119 м.</t>
  </si>
  <si>
    <t>Ремонт улично-дорожной сети по ул.Буян с. Шанский Завод протяженностью 541 м.</t>
  </si>
  <si>
    <t>ремонт уличного освещения  в д.Фокино и д.Терехово</t>
  </si>
  <si>
    <t>выкашивание территории по договору 7732,49*127,1%*5мес.</t>
  </si>
  <si>
    <t>работы по уборке территориии СП (по договору 6000*127,1%*12мес)</t>
  </si>
  <si>
    <t>благоустройство берега р.Шаня</t>
  </si>
  <si>
    <t>ремонт пешеходного мостика ч/з р.Шаня п.Смелый</t>
  </si>
  <si>
    <t>приобретение электроэнергии (36865 кВт*7,9094271 руб)</t>
  </si>
  <si>
    <t>Благоустройство гражданского кладбища в с.Шанский Завод</t>
  </si>
  <si>
    <t>Ограждение гражданского кладбища в с.Шанский Завод</t>
  </si>
  <si>
    <t>Благоустройство гражданского кладбища около урочище Кузова</t>
  </si>
  <si>
    <r>
      <t>ремонт дорог внутри поселения (</t>
    </r>
    <r>
      <rPr>
        <b/>
        <sz val="10"/>
        <color indexed="8"/>
        <rFont val="Arial CYR"/>
        <charset val="204"/>
      </rPr>
      <t>НОВАЯ ЦСТР</t>
    </r>
    <r>
      <rPr>
        <sz val="10"/>
        <color indexed="8"/>
        <rFont val="Arial CYR"/>
        <charset val="204"/>
      </rPr>
      <t>)</t>
    </r>
  </si>
  <si>
    <t>должностные оклады с повышением с 01.10.20</t>
  </si>
  <si>
    <t xml:space="preserve"> в том числе налоговые и неналоговые доходы  + от населения и ИП (развитие сельских территории + местные инициативы)</t>
  </si>
  <si>
    <t>на 2021-2023 годы</t>
  </si>
  <si>
    <t>затраты за сопровождение программ и приобретение лицензий для програмного обеспечения (обслуживание сайта 16500 Прагматик, обновление программы АИС 6400; право регистрации сотрудника в СБИС 1600, ТехноКад)</t>
  </si>
  <si>
    <t>замена забора вокруг здания администрации  СП</t>
  </si>
  <si>
    <t>разработка сметы на установку ограждения вокруг здания администрации</t>
  </si>
  <si>
    <t>изготовление тех.плана на места братских захоронений</t>
  </si>
  <si>
    <t>Мероприятия по ликвидации очагов распростанения борщевика Сосновского</t>
  </si>
  <si>
    <t>05 0 02 02210</t>
  </si>
  <si>
    <t>ремонт уличного освещения  в д.Павлищево</t>
  </si>
  <si>
    <t xml:space="preserve">тех.условия на присоединение к эл.сетям 2021 г. - д.Терехово, д.Фокино, 2022 г. - д.Бабино </t>
  </si>
  <si>
    <t>ремонт уличного освещения  в д.Ростово</t>
  </si>
  <si>
    <t>проверка сметной документации на работы по благоустройству</t>
  </si>
  <si>
    <t>приобретение, доставка и установка контейнеров и контейнерных площадок</t>
  </si>
  <si>
    <t>приобретение ГСМ для бензокосилки и др. товаров для благоустройства</t>
  </si>
  <si>
    <t>вырубка высокорослых и сухостойных насаждений и кустарников</t>
  </si>
  <si>
    <t>строительный надзор за выполнением работ по обустройству спортплощадки в с Шанский Завод</t>
  </si>
  <si>
    <t>окашивание территории СП</t>
  </si>
  <si>
    <t>строительство нового колодца в д.Тетево</t>
  </si>
</sst>
</file>

<file path=xl/styles.xml><?xml version="1.0" encoding="utf-8"?>
<styleSheet xmlns="http://schemas.openxmlformats.org/spreadsheetml/2006/main">
  <numFmts count="1">
    <numFmt numFmtId="164" formatCode="#,##0.0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2"/>
      <color indexed="8"/>
      <name val="Arial Cyr"/>
      <family val="2"/>
      <charset val="204"/>
    </font>
    <font>
      <sz val="10"/>
      <color indexed="8"/>
      <name val="Arial Cyr"/>
      <family val="2"/>
      <charset val="204"/>
    </font>
    <font>
      <b/>
      <sz val="11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name val="Arial Cyr"/>
      <family val="2"/>
      <charset val="204"/>
    </font>
    <font>
      <b/>
      <i/>
      <sz val="11"/>
      <name val="Arial Cyr"/>
      <family val="2"/>
      <charset val="204"/>
    </font>
    <font>
      <i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  <font>
      <b/>
      <i/>
      <sz val="10"/>
      <name val="Arial CYR"/>
      <family val="2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i/>
      <sz val="10"/>
      <color indexed="8"/>
      <name val="Arial Cyr"/>
      <charset val="204"/>
    </font>
    <font>
      <b/>
      <i/>
      <sz val="10"/>
      <color indexed="8"/>
      <name val="Arial Cyr"/>
      <charset val="204"/>
    </font>
    <font>
      <i/>
      <sz val="10"/>
      <name val="Arial Cyr"/>
      <charset val="204"/>
    </font>
    <font>
      <i/>
      <sz val="10"/>
      <name val="Arial Cyr"/>
      <family val="2"/>
      <charset val="204"/>
    </font>
    <font>
      <i/>
      <sz val="10"/>
      <name val="Arial"/>
      <family val="2"/>
      <charset val="204"/>
    </font>
    <font>
      <b/>
      <sz val="11"/>
      <name val="Arial Cyr"/>
      <charset val="204"/>
    </font>
    <font>
      <sz val="10"/>
      <color rgb="FF000000"/>
      <name val="Arial Cyr"/>
      <family val="2"/>
    </font>
    <font>
      <b/>
      <sz val="11"/>
      <color indexed="8"/>
      <name val="Arial CYR"/>
      <charset val="204"/>
    </font>
    <font>
      <b/>
      <sz val="12"/>
      <name val="Times New Roman"/>
      <family val="1"/>
      <charset val="204"/>
    </font>
    <font>
      <b/>
      <i/>
      <sz val="11"/>
      <name val="Arial Cyr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i/>
      <sz val="10"/>
      <color rgb="FFFF0000"/>
      <name val="Arial Cyr"/>
      <charset val="204"/>
    </font>
    <font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27"/>
        <bgColor indexed="41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6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36">
    <xf numFmtId="0" fontId="0" fillId="0" borderId="0"/>
    <xf numFmtId="0" fontId="2" fillId="2" borderId="0"/>
    <xf numFmtId="49" fontId="21" fillId="0" borderId="13">
      <alignment vertical="top" wrapText="1"/>
    </xf>
    <xf numFmtId="0" fontId="25" fillId="0" borderId="0"/>
    <xf numFmtId="0" fontId="25" fillId="0" borderId="0"/>
    <xf numFmtId="0" fontId="25" fillId="0" borderId="0"/>
    <xf numFmtId="0" fontId="4" fillId="0" borderId="0"/>
    <xf numFmtId="0" fontId="4" fillId="0" borderId="0"/>
    <xf numFmtId="0" fontId="25" fillId="0" borderId="0"/>
    <xf numFmtId="0" fontId="4" fillId="8" borderId="0"/>
    <xf numFmtId="0" fontId="4" fillId="0" borderId="0">
      <alignment wrapText="1"/>
    </xf>
    <xf numFmtId="0" fontId="4" fillId="0" borderId="0"/>
    <xf numFmtId="0" fontId="3" fillId="0" borderId="0">
      <alignment horizontal="center" wrapText="1"/>
    </xf>
    <xf numFmtId="0" fontId="3" fillId="0" borderId="0">
      <alignment horizontal="center"/>
    </xf>
    <xf numFmtId="0" fontId="4" fillId="0" borderId="0">
      <alignment horizontal="right"/>
    </xf>
    <xf numFmtId="0" fontId="4" fillId="8" borderId="12"/>
    <xf numFmtId="0" fontId="4" fillId="0" borderId="1">
      <alignment horizontal="center" vertical="center" wrapText="1"/>
    </xf>
    <xf numFmtId="0" fontId="4" fillId="8" borderId="5"/>
    <xf numFmtId="49" fontId="4" fillId="0" borderId="1">
      <alignment horizontal="left" vertical="top" wrapText="1" indent="2"/>
    </xf>
    <xf numFmtId="49" fontId="4" fillId="0" borderId="1">
      <alignment horizontal="center" vertical="top" shrinkToFit="1"/>
    </xf>
    <xf numFmtId="4" fontId="4" fillId="0" borderId="1">
      <alignment horizontal="right" vertical="top" shrinkToFit="1"/>
    </xf>
    <xf numFmtId="10" fontId="4" fillId="0" borderId="1">
      <alignment horizontal="right" vertical="top" shrinkToFit="1"/>
    </xf>
    <xf numFmtId="0" fontId="4" fillId="8" borderId="5">
      <alignment shrinkToFit="1"/>
    </xf>
    <xf numFmtId="0" fontId="6" fillId="0" borderId="1">
      <alignment horizontal="left"/>
    </xf>
    <xf numFmtId="4" fontId="6" fillId="9" borderId="1">
      <alignment horizontal="right" vertical="top" shrinkToFit="1"/>
    </xf>
    <xf numFmtId="10" fontId="6" fillId="9" borderId="1">
      <alignment horizontal="right" vertical="top" shrinkToFit="1"/>
    </xf>
    <xf numFmtId="0" fontId="4" fillId="8" borderId="21"/>
    <xf numFmtId="0" fontId="4" fillId="0" borderId="0">
      <alignment horizontal="left" wrapText="1"/>
    </xf>
    <xf numFmtId="0" fontId="6" fillId="0" borderId="1">
      <alignment vertical="top" wrapText="1"/>
    </xf>
    <xf numFmtId="4" fontId="6" fillId="10" borderId="1">
      <alignment horizontal="right" vertical="top" shrinkToFit="1"/>
    </xf>
    <xf numFmtId="10" fontId="6" fillId="10" borderId="1">
      <alignment horizontal="right" vertical="top" shrinkToFit="1"/>
    </xf>
    <xf numFmtId="0" fontId="4" fillId="8" borderId="5">
      <alignment horizontal="center"/>
    </xf>
    <xf numFmtId="0" fontId="4" fillId="8" borderId="5">
      <alignment horizontal="left"/>
    </xf>
    <xf numFmtId="0" fontId="4" fillId="8" borderId="21">
      <alignment horizontal="center"/>
    </xf>
    <xf numFmtId="0" fontId="4" fillId="8" borderId="21">
      <alignment horizontal="left"/>
    </xf>
    <xf numFmtId="4" fontId="26" fillId="11" borderId="13">
      <alignment horizontal="right" vertical="top" shrinkToFit="1"/>
    </xf>
  </cellStyleXfs>
  <cellXfs count="260">
    <xf numFmtId="0" fontId="0" fillId="0" borderId="0" xfId="0"/>
    <xf numFmtId="0" fontId="2" fillId="2" borderId="0" xfId="1"/>
    <xf numFmtId="0" fontId="2" fillId="2" borderId="1" xfId="1" applyFont="1" applyBorder="1" applyAlignment="1">
      <alignment horizontal="center"/>
    </xf>
    <xf numFmtId="0" fontId="6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vertical="top" wrapText="1"/>
    </xf>
    <xf numFmtId="0" fontId="11" fillId="2" borderId="1" xfId="1" applyFont="1" applyFill="1" applyBorder="1" applyAlignment="1">
      <alignment vertical="top" wrapText="1"/>
    </xf>
    <xf numFmtId="0" fontId="2" fillId="2" borderId="0" xfId="1" applyAlignment="1"/>
    <xf numFmtId="0" fontId="10" fillId="2" borderId="1" xfId="1" applyFont="1" applyFill="1" applyBorder="1" applyAlignment="1">
      <alignment vertical="top" wrapText="1"/>
    </xf>
    <xf numFmtId="0" fontId="15" fillId="2" borderId="1" xfId="1" applyFont="1" applyFill="1" applyBorder="1" applyAlignment="1">
      <alignment vertical="top" wrapText="1"/>
    </xf>
    <xf numFmtId="0" fontId="15" fillId="0" borderId="1" xfId="1" applyFont="1" applyFill="1" applyBorder="1" applyAlignment="1">
      <alignment vertical="top" wrapText="1"/>
    </xf>
    <xf numFmtId="0" fontId="17" fillId="2" borderId="1" xfId="1" applyFont="1" applyFill="1" applyBorder="1" applyAlignment="1">
      <alignment vertical="top" wrapText="1"/>
    </xf>
    <xf numFmtId="0" fontId="17" fillId="0" borderId="1" xfId="1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0" xfId="1" applyFont="1"/>
    <xf numFmtId="0" fontId="5" fillId="2" borderId="1" xfId="1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top" shrinkToFit="1"/>
    </xf>
    <xf numFmtId="49" fontId="10" fillId="2" borderId="1" xfId="0" applyNumberFormat="1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vertical="top" shrinkToFit="1"/>
    </xf>
    <xf numFmtId="49" fontId="11" fillId="2" borderId="1" xfId="0" applyNumberFormat="1" applyFont="1" applyFill="1" applyBorder="1" applyAlignment="1">
      <alignment horizontal="center" vertical="top" wrapText="1"/>
    </xf>
    <xf numFmtId="49" fontId="13" fillId="0" borderId="7" xfId="0" applyNumberFormat="1" applyFont="1" applyBorder="1" applyAlignment="1">
      <alignment vertical="top"/>
    </xf>
    <xf numFmtId="49" fontId="1" fillId="0" borderId="7" xfId="0" applyNumberFormat="1" applyFont="1" applyBorder="1" applyAlignment="1">
      <alignment vertical="top"/>
    </xf>
    <xf numFmtId="49" fontId="15" fillId="2" borderId="1" xfId="0" applyNumberFormat="1" applyFont="1" applyFill="1" applyBorder="1" applyAlignment="1">
      <alignment horizontal="center" vertical="top" shrinkToFi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0" borderId="1" xfId="0" applyNumberFormat="1" applyFont="1" applyFill="1" applyBorder="1" applyAlignment="1">
      <alignment horizontal="center" vertical="top" shrinkToFit="1"/>
    </xf>
    <xf numFmtId="49" fontId="15" fillId="0" borderId="1" xfId="0" applyNumberFormat="1" applyFont="1" applyFill="1" applyBorder="1" applyAlignment="1">
      <alignment horizontal="center" vertical="top" wrapText="1"/>
    </xf>
    <xf numFmtId="49" fontId="17" fillId="2" borderId="1" xfId="0" applyNumberFormat="1" applyFont="1" applyFill="1" applyBorder="1" applyAlignment="1">
      <alignment horizontal="center" vertical="top" shrinkToFi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shrinkToFit="1"/>
    </xf>
    <xf numFmtId="49" fontId="17" fillId="0" borderId="1" xfId="0" applyNumberFormat="1" applyFont="1" applyFill="1" applyBorder="1" applyAlignment="1">
      <alignment horizontal="center" vertical="top" wrapText="1"/>
    </xf>
    <xf numFmtId="49" fontId="17" fillId="0" borderId="7" xfId="0" applyNumberFormat="1" applyFont="1" applyBorder="1" applyAlignment="1">
      <alignment vertical="top"/>
    </xf>
    <xf numFmtId="49" fontId="0" fillId="2" borderId="1" xfId="0" applyNumberFormat="1" applyFont="1" applyFill="1" applyBorder="1" applyAlignment="1">
      <alignment horizontal="center" vertical="top" shrinkToFit="1"/>
    </xf>
    <xf numFmtId="49" fontId="0" fillId="2" borderId="1" xfId="0" applyNumberFormat="1" applyFill="1" applyBorder="1" applyAlignment="1">
      <alignment horizontal="center" vertical="top" shrinkToFit="1"/>
    </xf>
    <xf numFmtId="49" fontId="13" fillId="2" borderId="1" xfId="0" applyNumberFormat="1" applyFont="1" applyFill="1" applyBorder="1" applyAlignment="1">
      <alignment horizontal="center" vertical="top" shrinkToFit="1"/>
    </xf>
    <xf numFmtId="49" fontId="11" fillId="2" borderId="1" xfId="0" applyNumberFormat="1" applyFont="1" applyFill="1" applyBorder="1" applyAlignment="1">
      <alignment horizontal="center" vertical="top" shrinkToFit="1"/>
    </xf>
    <xf numFmtId="0" fontId="2" fillId="2" borderId="7" xfId="1" applyFont="1" applyFill="1" applyBorder="1" applyAlignment="1">
      <alignment vertical="top" wrapText="1"/>
    </xf>
    <xf numFmtId="49" fontId="0" fillId="2" borderId="6" xfId="0" applyNumberFormat="1" applyFont="1" applyFill="1" applyBorder="1" applyAlignment="1">
      <alignment horizontal="center" vertical="top" shrinkToFit="1"/>
    </xf>
    <xf numFmtId="0" fontId="1" fillId="0" borderId="7" xfId="0" applyFont="1" applyBorder="1" applyAlignment="1">
      <alignment horizontal="center" vertical="top"/>
    </xf>
    <xf numFmtId="0" fontId="2" fillId="0" borderId="2" xfId="1" applyFont="1" applyFill="1" applyBorder="1" applyAlignment="1">
      <alignment vertical="top" wrapText="1"/>
    </xf>
    <xf numFmtId="0" fontId="13" fillId="0" borderId="7" xfId="0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 shrinkToFit="1"/>
    </xf>
    <xf numFmtId="49" fontId="9" fillId="2" borderId="4" xfId="0" applyNumberFormat="1" applyFont="1" applyFill="1" applyBorder="1" applyAlignment="1">
      <alignment horizontal="center" vertical="top" shrinkToFit="1"/>
    </xf>
    <xf numFmtId="49" fontId="9" fillId="2" borderId="7" xfId="0" applyNumberFormat="1" applyFont="1" applyFill="1" applyBorder="1" applyAlignment="1">
      <alignment horizontal="center" vertical="top" wrapText="1"/>
    </xf>
    <xf numFmtId="49" fontId="9" fillId="2" borderId="6" xfId="0" applyNumberFormat="1" applyFont="1" applyFill="1" applyBorder="1" applyAlignment="1">
      <alignment horizontal="center" vertical="top" shrinkToFit="1"/>
    </xf>
    <xf numFmtId="0" fontId="19" fillId="0" borderId="1" xfId="0" applyFont="1" applyBorder="1" applyAlignment="1">
      <alignment vertical="top" wrapText="1"/>
    </xf>
    <xf numFmtId="0" fontId="17" fillId="0" borderId="7" xfId="0" applyFont="1" applyBorder="1" applyAlignment="1">
      <alignment horizontal="center" vertical="top"/>
    </xf>
    <xf numFmtId="49" fontId="0" fillId="0" borderId="7" xfId="0" applyNumberFormat="1" applyBorder="1" applyAlignment="1">
      <alignment vertical="top"/>
    </xf>
    <xf numFmtId="49" fontId="0" fillId="2" borderId="4" xfId="0" applyNumberFormat="1" applyFont="1" applyFill="1" applyBorder="1" applyAlignment="1">
      <alignment horizontal="center" vertical="top" shrinkToFit="1"/>
    </xf>
    <xf numFmtId="0" fontId="4" fillId="2" borderId="3" xfId="1" applyFont="1" applyFill="1" applyBorder="1" applyAlignment="1">
      <alignment vertical="top" wrapText="1"/>
    </xf>
    <xf numFmtId="49" fontId="4" fillId="0" borderId="3" xfId="0" applyNumberFormat="1" applyFont="1" applyFill="1" applyBorder="1" applyAlignment="1">
      <alignment horizontal="center" vertical="top" shrinkToFit="1"/>
    </xf>
    <xf numFmtId="0" fontId="6" fillId="0" borderId="2" xfId="1" applyFont="1" applyFill="1" applyBorder="1" applyAlignment="1">
      <alignment vertical="top" wrapText="1"/>
    </xf>
    <xf numFmtId="49" fontId="6" fillId="2" borderId="2" xfId="0" applyNumberFormat="1" applyFont="1" applyFill="1" applyBorder="1" applyAlignment="1">
      <alignment horizontal="center" vertical="top" shrinkToFit="1"/>
    </xf>
    <xf numFmtId="49" fontId="6" fillId="0" borderId="2" xfId="0" applyNumberFormat="1" applyFont="1" applyFill="1" applyBorder="1" applyAlignment="1">
      <alignment horizontal="center" vertical="top" wrapText="1"/>
    </xf>
    <xf numFmtId="0" fontId="15" fillId="2" borderId="7" xfId="1" applyFont="1" applyFill="1" applyBorder="1" applyAlignment="1">
      <alignment vertical="top" wrapText="1"/>
    </xf>
    <xf numFmtId="49" fontId="15" fillId="0" borderId="7" xfId="0" applyNumberFormat="1" applyFont="1" applyFill="1" applyBorder="1" applyAlignment="1">
      <alignment horizontal="center" vertical="top" shrinkToFit="1"/>
    </xf>
    <xf numFmtId="49" fontId="13" fillId="0" borderId="0" xfId="0" applyNumberFormat="1" applyFont="1" applyBorder="1" applyAlignment="1">
      <alignment vertical="top"/>
    </xf>
    <xf numFmtId="0" fontId="17" fillId="3" borderId="7" xfId="0" applyFont="1" applyFill="1" applyBorder="1" applyAlignment="1">
      <alignment horizontal="center" vertical="top"/>
    </xf>
    <xf numFmtId="4" fontId="7" fillId="2" borderId="1" xfId="1" applyNumberFormat="1" applyFont="1" applyBorder="1" applyAlignment="1">
      <alignment vertical="top"/>
    </xf>
    <xf numFmtId="4" fontId="2" fillId="2" borderId="1" xfId="1" applyNumberFormat="1" applyBorder="1" applyAlignment="1">
      <alignment horizontal="right" vertical="top"/>
    </xf>
    <xf numFmtId="4" fontId="1" fillId="2" borderId="1" xfId="1" applyNumberFormat="1" applyFont="1" applyBorder="1" applyAlignment="1">
      <alignment vertical="top"/>
    </xf>
    <xf numFmtId="4" fontId="6" fillId="2" borderId="2" xfId="1" applyNumberFormat="1" applyFont="1" applyFill="1" applyBorder="1" applyAlignment="1">
      <alignment horizontal="right" vertical="top" wrapText="1"/>
    </xf>
    <xf numFmtId="4" fontId="10" fillId="0" borderId="1" xfId="1" applyNumberFormat="1" applyFont="1" applyFill="1" applyBorder="1" applyAlignment="1">
      <alignment horizontal="right" vertical="top" shrinkToFit="1"/>
    </xf>
    <xf numFmtId="4" fontId="2" fillId="0" borderId="1" xfId="1" applyNumberFormat="1" applyFill="1" applyBorder="1" applyAlignment="1">
      <alignment vertical="top"/>
    </xf>
    <xf numFmtId="4" fontId="2" fillId="2" borderId="1" xfId="1" applyNumberFormat="1" applyBorder="1" applyAlignment="1">
      <alignment vertical="top"/>
    </xf>
    <xf numFmtId="4" fontId="4" fillId="0" borderId="1" xfId="1" applyNumberFormat="1" applyFont="1" applyFill="1" applyBorder="1" applyAlignment="1">
      <alignment horizontal="right" vertical="top" shrinkToFit="1"/>
    </xf>
    <xf numFmtId="4" fontId="15" fillId="0" borderId="1" xfId="1" applyNumberFormat="1" applyFont="1" applyFill="1" applyBorder="1" applyAlignment="1">
      <alignment horizontal="right" vertical="top" shrinkToFit="1"/>
    </xf>
    <xf numFmtId="4" fontId="17" fillId="0" borderId="1" xfId="1" applyNumberFormat="1" applyFont="1" applyFill="1" applyBorder="1" applyAlignment="1">
      <alignment vertical="top"/>
    </xf>
    <xf numFmtId="4" fontId="4" fillId="0" borderId="2" xfId="1" applyNumberFormat="1" applyFont="1" applyFill="1" applyBorder="1" applyAlignment="1">
      <alignment horizontal="right" vertical="top" shrinkToFit="1"/>
    </xf>
    <xf numFmtId="4" fontId="4" fillId="0" borderId="3" xfId="1" applyNumberFormat="1" applyFont="1" applyFill="1" applyBorder="1" applyAlignment="1">
      <alignment horizontal="right" vertical="top" shrinkToFit="1"/>
    </xf>
    <xf numFmtId="4" fontId="15" fillId="0" borderId="7" xfId="1" applyNumberFormat="1" applyFont="1" applyFill="1" applyBorder="1" applyAlignment="1">
      <alignment horizontal="right" vertical="top" shrinkToFit="1"/>
    </xf>
    <xf numFmtId="4" fontId="2" fillId="0" borderId="1" xfId="1" applyNumberFormat="1" applyFont="1" applyFill="1" applyBorder="1" applyAlignment="1">
      <alignment horizontal="right" vertical="top" shrinkToFit="1"/>
    </xf>
    <xf numFmtId="4" fontId="13" fillId="0" borderId="1" xfId="1" applyNumberFormat="1" applyFont="1" applyFill="1" applyBorder="1" applyAlignment="1">
      <alignment vertical="top"/>
    </xf>
    <xf numFmtId="4" fontId="11" fillId="0" borderId="1" xfId="1" applyNumberFormat="1" applyFont="1" applyFill="1" applyBorder="1" applyAlignment="1">
      <alignment horizontal="right" vertical="top" shrinkToFit="1"/>
    </xf>
    <xf numFmtId="4" fontId="18" fillId="0" borderId="1" xfId="1" applyNumberFormat="1" applyFont="1" applyFill="1" applyBorder="1" applyAlignment="1">
      <alignment vertical="top"/>
    </xf>
    <xf numFmtId="4" fontId="17" fillId="0" borderId="1" xfId="1" applyNumberFormat="1" applyFont="1" applyFill="1" applyBorder="1" applyAlignment="1">
      <alignment horizontal="right" vertical="top" shrinkToFit="1"/>
    </xf>
    <xf numFmtId="4" fontId="12" fillId="0" borderId="1" xfId="1" applyNumberFormat="1" applyFont="1" applyFill="1" applyBorder="1" applyAlignment="1">
      <alignment horizontal="right" vertical="top" shrinkToFit="1"/>
    </xf>
    <xf numFmtId="4" fontId="17" fillId="3" borderId="1" xfId="1" applyNumberFormat="1" applyFont="1" applyFill="1" applyBorder="1" applyAlignment="1">
      <alignment horizontal="right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" fontId="13" fillId="0" borderId="1" xfId="1" applyNumberFormat="1" applyFont="1" applyFill="1" applyBorder="1" applyAlignment="1">
      <alignment horizontal="right" vertical="top" shrinkToFit="1"/>
    </xf>
    <xf numFmtId="0" fontId="4" fillId="0" borderId="1" xfId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vertical="top" shrinkToFit="1"/>
    </xf>
    <xf numFmtId="0" fontId="9" fillId="0" borderId="1" xfId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 shrinkToFit="1"/>
    </xf>
    <xf numFmtId="49" fontId="9" fillId="0" borderId="1" xfId="0" applyNumberFormat="1" applyFont="1" applyFill="1" applyBorder="1" applyAlignment="1">
      <alignment horizontal="center" vertical="top" wrapText="1"/>
    </xf>
    <xf numFmtId="49" fontId="0" fillId="0" borderId="7" xfId="0" applyNumberFormat="1" applyFont="1" applyBorder="1" applyAlignment="1">
      <alignment vertical="top"/>
    </xf>
    <xf numFmtId="0" fontId="0" fillId="0" borderId="7" xfId="0" applyBorder="1" applyAlignment="1">
      <alignment horizontal="center" vertical="top"/>
    </xf>
    <xf numFmtId="0" fontId="17" fillId="2" borderId="1" xfId="1" applyFont="1" applyFill="1" applyBorder="1" applyAlignment="1">
      <alignment horizontal="left" vertical="top" wrapText="1"/>
    </xf>
    <xf numFmtId="49" fontId="17" fillId="2" borderId="4" xfId="0" applyNumberFormat="1" applyFont="1" applyFill="1" applyBorder="1" applyAlignment="1">
      <alignment horizontal="center" vertical="top" shrinkToFit="1"/>
    </xf>
    <xf numFmtId="49" fontId="17" fillId="2" borderId="6" xfId="0" applyNumberFormat="1" applyFont="1" applyFill="1" applyBorder="1" applyAlignment="1">
      <alignment horizontal="center" vertical="top" shrinkToFit="1"/>
    </xf>
    <xf numFmtId="4" fontId="10" fillId="6" borderId="2" xfId="1" applyNumberFormat="1" applyFont="1" applyFill="1" applyBorder="1" applyAlignment="1">
      <alignment horizontal="right" vertical="top" wrapText="1"/>
    </xf>
    <xf numFmtId="0" fontId="20" fillId="6" borderId="1" xfId="1" applyFont="1" applyFill="1" applyBorder="1" applyAlignment="1">
      <alignment horizontal="center" vertical="top" wrapText="1"/>
    </xf>
    <xf numFmtId="4" fontId="17" fillId="2" borderId="1" xfId="1" applyNumberFormat="1" applyFont="1" applyBorder="1" applyAlignment="1">
      <alignment vertical="top"/>
    </xf>
    <xf numFmtId="4" fontId="9" fillId="0" borderId="1" xfId="1" applyNumberFormat="1" applyFont="1" applyFill="1" applyBorder="1" applyAlignment="1">
      <alignment horizontal="right" vertical="top" shrinkToFit="1"/>
    </xf>
    <xf numFmtId="0" fontId="15" fillId="2" borderId="2" xfId="1" applyFont="1" applyFill="1" applyBorder="1" applyAlignment="1">
      <alignment vertical="top" wrapText="1"/>
    </xf>
    <xf numFmtId="0" fontId="15" fillId="2" borderId="3" xfId="1" applyFont="1" applyFill="1" applyBorder="1" applyAlignment="1">
      <alignment vertical="top" wrapText="1"/>
    </xf>
    <xf numFmtId="49" fontId="15" fillId="2" borderId="3" xfId="0" applyNumberFormat="1" applyFont="1" applyFill="1" applyBorder="1" applyAlignment="1">
      <alignment horizontal="center" vertical="top" shrinkToFit="1"/>
    </xf>
    <xf numFmtId="49" fontId="17" fillId="0" borderId="8" xfId="0" applyNumberFormat="1" applyFont="1" applyBorder="1" applyAlignment="1">
      <alignment vertical="top"/>
    </xf>
    <xf numFmtId="49" fontId="15" fillId="2" borderId="7" xfId="0" applyNumberFormat="1" applyFont="1" applyFill="1" applyBorder="1" applyAlignment="1">
      <alignment horizontal="center" vertical="top" shrinkToFit="1"/>
    </xf>
    <xf numFmtId="49" fontId="15" fillId="2" borderId="6" xfId="0" applyNumberFormat="1" applyFont="1" applyFill="1" applyBorder="1" applyAlignment="1">
      <alignment horizontal="center" vertical="top" shrinkToFit="1"/>
    </xf>
    <xf numFmtId="4" fontId="4" fillId="2" borderId="2" xfId="0" applyNumberFormat="1" applyFont="1" applyFill="1" applyBorder="1" applyAlignment="1">
      <alignment horizontal="right" vertical="top" wrapText="1"/>
    </xf>
    <xf numFmtId="4" fontId="1" fillId="0" borderId="1" xfId="0" applyNumberFormat="1" applyFont="1" applyBorder="1" applyAlignment="1">
      <alignment vertical="top"/>
    </xf>
    <xf numFmtId="49" fontId="13" fillId="2" borderId="4" xfId="0" applyNumberFormat="1" applyFont="1" applyFill="1" applyBorder="1" applyAlignment="1">
      <alignment horizontal="center" vertical="top" shrinkToFit="1"/>
    </xf>
    <xf numFmtId="49" fontId="13" fillId="2" borderId="6" xfId="0" applyNumberFormat="1" applyFont="1" applyFill="1" applyBorder="1" applyAlignment="1">
      <alignment horizontal="center" vertical="top" shrinkToFit="1"/>
    </xf>
    <xf numFmtId="0" fontId="11" fillId="0" borderId="4" xfId="1" applyFont="1" applyFill="1" applyBorder="1" applyAlignment="1">
      <alignment horizontal="left" vertical="top" wrapText="1"/>
    </xf>
    <xf numFmtId="49" fontId="11" fillId="0" borderId="7" xfId="0" applyNumberFormat="1" applyFont="1" applyFill="1" applyBorder="1" applyAlignment="1">
      <alignment horizontal="center" vertical="top" shrinkToFit="1"/>
    </xf>
    <xf numFmtId="49" fontId="11" fillId="0" borderId="7" xfId="0" applyNumberFormat="1" applyFont="1" applyFill="1" applyBorder="1" applyAlignment="1">
      <alignment horizontal="center" vertical="top" wrapText="1"/>
    </xf>
    <xf numFmtId="4" fontId="11" fillId="0" borderId="6" xfId="1" applyNumberFormat="1" applyFont="1" applyFill="1" applyBorder="1" applyAlignment="1">
      <alignment horizontal="right" vertical="top" shrinkToFit="1"/>
    </xf>
    <xf numFmtId="4" fontId="10" fillId="5" borderId="1" xfId="1" applyNumberFormat="1" applyFont="1" applyFill="1" applyBorder="1" applyAlignment="1">
      <alignment horizontal="right" vertical="top" shrinkToFit="1"/>
    </xf>
    <xf numFmtId="0" fontId="13" fillId="2" borderId="1" xfId="1" applyFont="1" applyFill="1" applyBorder="1" applyAlignment="1">
      <alignment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" fillId="2" borderId="1" xfId="1" applyFont="1" applyFill="1" applyBorder="1" applyAlignment="1">
      <alignment vertical="top" wrapText="1"/>
    </xf>
    <xf numFmtId="0" fontId="0" fillId="0" borderId="7" xfId="0" applyFont="1" applyBorder="1" applyAlignment="1">
      <alignment horizontal="center" vertical="top"/>
    </xf>
    <xf numFmtId="0" fontId="1" fillId="2" borderId="1" xfId="1" applyFont="1" applyFill="1" applyBorder="1" applyAlignment="1">
      <alignment horizontal="left" vertical="top" wrapText="1"/>
    </xf>
    <xf numFmtId="0" fontId="13" fillId="2" borderId="1" xfId="1" applyFont="1" applyFill="1" applyBorder="1" applyAlignment="1">
      <alignment horizontal="left" vertical="top" wrapText="1"/>
    </xf>
    <xf numFmtId="0" fontId="1" fillId="2" borderId="3" xfId="1" applyFont="1" applyFill="1" applyBorder="1" applyAlignment="1">
      <alignment vertical="top" wrapText="1"/>
    </xf>
    <xf numFmtId="49" fontId="11" fillId="7" borderId="7" xfId="0" applyNumberFormat="1" applyFont="1" applyFill="1" applyBorder="1" applyAlignment="1">
      <alignment horizontal="center" vertical="top" wrapText="1"/>
    </xf>
    <xf numFmtId="49" fontId="10" fillId="2" borderId="4" xfId="0" applyNumberFormat="1" applyFont="1" applyFill="1" applyBorder="1" applyAlignment="1">
      <alignment horizontal="center" vertical="top" shrinkToFit="1"/>
    </xf>
    <xf numFmtId="49" fontId="15" fillId="2" borderId="4" xfId="0" applyNumberFormat="1" applyFont="1" applyFill="1" applyBorder="1" applyAlignment="1">
      <alignment horizontal="center" vertical="top" shrinkToFit="1"/>
    </xf>
    <xf numFmtId="49" fontId="10" fillId="2" borderId="6" xfId="0" applyNumberFormat="1" applyFont="1" applyFill="1" applyBorder="1" applyAlignment="1">
      <alignment horizontal="center" vertical="top" shrinkToFit="1"/>
    </xf>
    <xf numFmtId="49" fontId="15" fillId="2" borderId="3" xfId="0" applyNumberFormat="1" applyFont="1" applyFill="1" applyBorder="1" applyAlignment="1">
      <alignment horizontal="center" vertical="top" wrapText="1"/>
    </xf>
    <xf numFmtId="49" fontId="10" fillId="2" borderId="7" xfId="0" applyNumberFormat="1" applyFont="1" applyFill="1" applyBorder="1" applyAlignment="1">
      <alignment horizontal="center"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1" fillId="2" borderId="6" xfId="0" applyNumberFormat="1" applyFont="1" applyFill="1" applyBorder="1" applyAlignment="1">
      <alignment horizontal="center" vertical="top" shrinkToFit="1"/>
    </xf>
    <xf numFmtId="49" fontId="10" fillId="2" borderId="3" xfId="0" applyNumberFormat="1" applyFont="1" applyFill="1" applyBorder="1" applyAlignment="1">
      <alignment horizontal="center" vertical="top" shrinkToFit="1"/>
    </xf>
    <xf numFmtId="49" fontId="13" fillId="0" borderId="8" xfId="0" applyNumberFormat="1" applyFont="1" applyBorder="1" applyAlignment="1">
      <alignment vertical="top"/>
    </xf>
    <xf numFmtId="0" fontId="23" fillId="0" borderId="7" xfId="0" applyFont="1" applyFill="1" applyBorder="1" applyAlignment="1">
      <alignment vertical="top" wrapText="1"/>
    </xf>
    <xf numFmtId="0" fontId="17" fillId="2" borderId="4" xfId="1" applyFont="1" applyFill="1" applyBorder="1" applyAlignment="1">
      <alignment vertical="top" wrapText="1"/>
    </xf>
    <xf numFmtId="49" fontId="17" fillId="2" borderId="7" xfId="0" applyNumberFormat="1" applyFont="1" applyFill="1" applyBorder="1" applyAlignment="1">
      <alignment horizontal="center" vertical="top" shrinkToFit="1"/>
    </xf>
    <xf numFmtId="0" fontId="10" fillId="0" borderId="4" xfId="1" applyFont="1" applyFill="1" applyBorder="1" applyAlignment="1">
      <alignment vertical="top" wrapText="1"/>
    </xf>
    <xf numFmtId="49" fontId="10" fillId="0" borderId="7" xfId="0" applyNumberFormat="1" applyFont="1" applyFill="1" applyBorder="1" applyAlignment="1">
      <alignment horizontal="center" vertical="top" shrinkToFit="1"/>
    </xf>
    <xf numFmtId="49" fontId="10" fillId="0" borderId="7" xfId="0" applyNumberFormat="1" applyFont="1" applyFill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5" fillId="0" borderId="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4" fontId="6" fillId="0" borderId="2" xfId="1" applyNumberFormat="1" applyFont="1" applyFill="1" applyBorder="1" applyAlignment="1">
      <alignment horizontal="right" vertical="top" wrapText="1"/>
    </xf>
    <xf numFmtId="0" fontId="10" fillId="0" borderId="1" xfId="1" applyFont="1" applyFill="1" applyBorder="1" applyAlignment="1">
      <alignment vertical="top" wrapText="1"/>
    </xf>
    <xf numFmtId="49" fontId="11" fillId="0" borderId="6" xfId="0" applyNumberFormat="1" applyFont="1" applyFill="1" applyBorder="1" applyAlignment="1">
      <alignment horizontal="center" vertical="top" shrinkToFit="1"/>
    </xf>
    <xf numFmtId="49" fontId="10" fillId="0" borderId="6" xfId="0" applyNumberFormat="1" applyFont="1" applyFill="1" applyBorder="1" applyAlignment="1">
      <alignment horizontal="center" vertical="top" wrapText="1"/>
    </xf>
    <xf numFmtId="49" fontId="11" fillId="0" borderId="1" xfId="0" applyNumberFormat="1" applyFont="1" applyFill="1" applyBorder="1" applyAlignment="1">
      <alignment horizontal="center" vertical="top" shrinkToFit="1"/>
    </xf>
    <xf numFmtId="0" fontId="10" fillId="4" borderId="2" xfId="1" applyFont="1" applyFill="1" applyBorder="1" applyAlignment="1">
      <alignment horizontal="center" vertical="top" wrapText="1"/>
    </xf>
    <xf numFmtId="4" fontId="10" fillId="5" borderId="2" xfId="1" applyNumberFormat="1" applyFont="1" applyFill="1" applyBorder="1" applyAlignment="1">
      <alignment horizontal="right" vertical="top" shrinkToFit="1"/>
    </xf>
    <xf numFmtId="0" fontId="10" fillId="4" borderId="4" xfId="1" applyFont="1" applyFill="1" applyBorder="1" applyAlignment="1">
      <alignment horizontal="center" vertical="top" wrapText="1"/>
    </xf>
    <xf numFmtId="0" fontId="13" fillId="4" borderId="1" xfId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shrinkToFit="1"/>
    </xf>
    <xf numFmtId="49" fontId="10" fillId="0" borderId="1" xfId="0" applyNumberFormat="1" applyFont="1" applyFill="1" applyBorder="1" applyAlignment="1">
      <alignment horizontal="center" vertical="top" wrapText="1"/>
    </xf>
    <xf numFmtId="0" fontId="12" fillId="0" borderId="1" xfId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 shrinkToFit="1"/>
    </xf>
    <xf numFmtId="49" fontId="12" fillId="0" borderId="1" xfId="0" applyNumberFormat="1" applyFont="1" applyFill="1" applyBorder="1" applyAlignment="1">
      <alignment horizontal="center" vertical="top" wrapText="1"/>
    </xf>
    <xf numFmtId="0" fontId="10" fillId="4" borderId="1" xfId="1" applyFont="1" applyFill="1" applyBorder="1" applyAlignment="1">
      <alignment horizontal="center" vertical="top" wrapText="1"/>
    </xf>
    <xf numFmtId="49" fontId="10" fillId="4" borderId="1" xfId="0" applyNumberFormat="1" applyFont="1" applyFill="1" applyBorder="1" applyAlignment="1">
      <alignment horizontal="center" vertical="top" shrinkToFit="1"/>
    </xf>
    <xf numFmtId="0" fontId="13" fillId="5" borderId="0" xfId="0" applyFont="1" applyFill="1" applyBorder="1" applyAlignment="1">
      <alignment horizontal="center" vertical="top"/>
    </xf>
    <xf numFmtId="4" fontId="13" fillId="5" borderId="1" xfId="1" applyNumberFormat="1" applyFont="1" applyFill="1" applyBorder="1" applyAlignment="1">
      <alignment vertical="top"/>
    </xf>
    <xf numFmtId="0" fontId="10" fillId="2" borderId="3" xfId="1" applyFont="1" applyFill="1" applyBorder="1" applyAlignment="1">
      <alignment vertical="top" wrapText="1"/>
    </xf>
    <xf numFmtId="4" fontId="13" fillId="0" borderId="3" xfId="1" applyNumberFormat="1" applyFont="1" applyFill="1" applyBorder="1" applyAlignment="1">
      <alignment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0" fillId="2" borderId="14" xfId="1" applyFont="1" applyFill="1" applyBorder="1" applyAlignment="1">
      <alignment vertical="top" wrapText="1"/>
    </xf>
    <xf numFmtId="49" fontId="10" fillId="2" borderId="19" xfId="0" applyNumberFormat="1" applyFont="1" applyFill="1" applyBorder="1" applyAlignment="1">
      <alignment horizontal="center" vertical="top" shrinkToFit="1"/>
    </xf>
    <xf numFmtId="49" fontId="13" fillId="0" borderId="19" xfId="0" applyNumberFormat="1" applyFont="1" applyBorder="1" applyAlignment="1">
      <alignment vertical="top"/>
    </xf>
    <xf numFmtId="4" fontId="15" fillId="0" borderId="18" xfId="1" applyNumberFormat="1" applyFont="1" applyFill="1" applyBorder="1" applyAlignment="1">
      <alignment horizontal="right" vertical="top" shrinkToFit="1"/>
    </xf>
    <xf numFmtId="4" fontId="10" fillId="0" borderId="18" xfId="1" applyNumberFormat="1" applyFont="1" applyFill="1" applyBorder="1" applyAlignment="1">
      <alignment horizontal="right" vertical="top" shrinkToFit="1"/>
    </xf>
    <xf numFmtId="49" fontId="15" fillId="2" borderId="16" xfId="0" applyNumberFormat="1" applyFont="1" applyFill="1" applyBorder="1" applyAlignment="1">
      <alignment horizontal="center" vertical="top" shrinkToFit="1"/>
    </xf>
    <xf numFmtId="0" fontId="17" fillId="0" borderId="20" xfId="0" applyFont="1" applyBorder="1" applyAlignment="1">
      <alignment horizontal="center" vertical="top"/>
    </xf>
    <xf numFmtId="49" fontId="15" fillId="2" borderId="17" xfId="0" applyNumberFormat="1" applyFont="1" applyFill="1" applyBorder="1" applyAlignment="1">
      <alignment horizontal="center" vertical="top" shrinkToFit="1"/>
    </xf>
    <xf numFmtId="49" fontId="15" fillId="2" borderId="2" xfId="0" applyNumberFormat="1" applyFont="1" applyFill="1" applyBorder="1" applyAlignment="1">
      <alignment horizontal="center" vertical="top" shrinkToFit="1"/>
    </xf>
    <xf numFmtId="4" fontId="17" fillId="0" borderId="2" xfId="1" applyNumberFormat="1" applyFont="1" applyFill="1" applyBorder="1" applyAlignment="1">
      <alignment vertical="top"/>
    </xf>
    <xf numFmtId="49" fontId="10" fillId="2" borderId="7" xfId="0" applyNumberFormat="1" applyFont="1" applyFill="1" applyBorder="1" applyAlignment="1">
      <alignment horizontal="center" vertical="top" shrinkToFit="1"/>
    </xf>
    <xf numFmtId="49" fontId="11" fillId="2" borderId="7" xfId="0" applyNumberFormat="1" applyFont="1" applyFill="1" applyBorder="1" applyAlignment="1">
      <alignment horizontal="center" vertical="top" shrinkToFit="1"/>
    </xf>
    <xf numFmtId="4" fontId="10" fillId="0" borderId="7" xfId="1" applyNumberFormat="1" applyFont="1" applyFill="1" applyBorder="1" applyAlignment="1">
      <alignment horizontal="right" vertical="top" shrinkToFit="1"/>
    </xf>
    <xf numFmtId="49" fontId="17" fillId="0" borderId="0" xfId="0" applyNumberFormat="1" applyFont="1" applyBorder="1" applyAlignment="1">
      <alignment vertical="top"/>
    </xf>
    <xf numFmtId="49" fontId="17" fillId="0" borderId="4" xfId="0" applyNumberFormat="1" applyFont="1" applyFill="1" applyBorder="1" applyAlignment="1">
      <alignment horizontal="center" vertical="top" shrinkToFit="1"/>
    </xf>
    <xf numFmtId="49" fontId="17" fillId="0" borderId="6" xfId="0" applyNumberFormat="1" applyFont="1" applyFill="1" applyBorder="1" applyAlignment="1">
      <alignment horizontal="center" vertical="top" shrinkToFit="1"/>
    </xf>
    <xf numFmtId="49" fontId="17" fillId="0" borderId="7" xfId="0" applyNumberFormat="1" applyFont="1" applyFill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/>
    </xf>
    <xf numFmtId="0" fontId="24" fillId="2" borderId="1" xfId="1" applyFont="1" applyBorder="1" applyAlignment="1">
      <alignment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5" xfId="0" applyFont="1" applyBorder="1" applyAlignment="1">
      <alignment horizontal="center" vertical="top" wrapText="1"/>
    </xf>
    <xf numFmtId="0" fontId="24" fillId="0" borderId="6" xfId="0" applyFont="1" applyBorder="1" applyAlignment="1">
      <alignment horizontal="center" vertical="top" wrapText="1"/>
    </xf>
    <xf numFmtId="4" fontId="16" fillId="2" borderId="2" xfId="1" applyNumberFormat="1" applyFont="1" applyFill="1" applyBorder="1" applyAlignment="1">
      <alignment horizontal="right" vertical="top" wrapText="1"/>
    </xf>
    <xf numFmtId="0" fontId="17" fillId="2" borderId="7" xfId="1" applyFont="1" applyFill="1" applyBorder="1" applyAlignment="1">
      <alignment vertical="top" wrapText="1"/>
    </xf>
    <xf numFmtId="0" fontId="25" fillId="0" borderId="0" xfId="3"/>
    <xf numFmtId="4" fontId="15" fillId="12" borderId="1" xfId="1" applyNumberFormat="1" applyFont="1" applyFill="1" applyBorder="1" applyAlignment="1">
      <alignment horizontal="right" vertical="top" shrinkToFit="1"/>
    </xf>
    <xf numFmtId="49" fontId="15" fillId="0" borderId="4" xfId="0" applyNumberFormat="1" applyFont="1" applyFill="1" applyBorder="1" applyAlignment="1">
      <alignment horizontal="center" vertical="top" shrinkToFit="1"/>
    </xf>
    <xf numFmtId="49" fontId="15" fillId="0" borderId="6" xfId="0" applyNumberFormat="1" applyFont="1" applyFill="1" applyBorder="1" applyAlignment="1">
      <alignment horizontal="center" vertical="top" shrinkToFit="1"/>
    </xf>
    <xf numFmtId="0" fontId="17" fillId="0" borderId="7" xfId="0" applyFont="1" applyFill="1" applyBorder="1" applyAlignment="1">
      <alignment horizontal="center" vertical="top"/>
    </xf>
    <xf numFmtId="4" fontId="2" fillId="0" borderId="1" xfId="1" applyNumberFormat="1" applyFill="1" applyBorder="1" applyAlignment="1">
      <alignment horizontal="right" vertical="top"/>
    </xf>
    <xf numFmtId="4" fontId="4" fillId="0" borderId="2" xfId="0" applyNumberFormat="1" applyFont="1" applyFill="1" applyBorder="1" applyAlignment="1">
      <alignment horizontal="right" vertical="top" wrapText="1"/>
    </xf>
    <xf numFmtId="49" fontId="10" fillId="0" borderId="4" xfId="0" applyNumberFormat="1" applyFont="1" applyFill="1" applyBorder="1" applyAlignment="1">
      <alignment horizontal="center" vertical="top" shrinkToFit="1"/>
    </xf>
    <xf numFmtId="0" fontId="13" fillId="0" borderId="7" xfId="0" applyFont="1" applyFill="1" applyBorder="1" applyAlignment="1">
      <alignment horizontal="center" vertical="top"/>
    </xf>
    <xf numFmtId="49" fontId="10" fillId="0" borderId="6" xfId="0" applyNumberFormat="1" applyFont="1" applyFill="1" applyBorder="1" applyAlignment="1">
      <alignment horizontal="center" vertical="top" shrinkToFit="1"/>
    </xf>
    <xf numFmtId="0" fontId="0" fillId="0" borderId="7" xfId="0" applyFill="1" applyBorder="1" applyAlignment="1">
      <alignment horizontal="center" vertical="top"/>
    </xf>
    <xf numFmtId="0" fontId="15" fillId="0" borderId="3" xfId="1" applyFont="1" applyFill="1" applyBorder="1" applyAlignment="1">
      <alignment vertical="top" wrapText="1"/>
    </xf>
    <xf numFmtId="0" fontId="11" fillId="0" borderId="1" xfId="1" applyFont="1" applyFill="1" applyBorder="1" applyAlignment="1">
      <alignment vertical="top" wrapText="1"/>
    </xf>
    <xf numFmtId="4" fontId="1" fillId="0" borderId="1" xfId="1" applyNumberFormat="1" applyFont="1" applyFill="1" applyBorder="1" applyAlignment="1">
      <alignment vertical="top"/>
    </xf>
    <xf numFmtId="4" fontId="27" fillId="0" borderId="1" xfId="1" applyNumberFormat="1" applyFont="1" applyFill="1" applyBorder="1" applyAlignment="1">
      <alignment vertical="top"/>
    </xf>
    <xf numFmtId="0" fontId="10" fillId="2" borderId="7" xfId="1" applyFont="1" applyFill="1" applyBorder="1" applyAlignment="1">
      <alignment vertical="top" wrapText="1"/>
    </xf>
    <xf numFmtId="0" fontId="15" fillId="13" borderId="1" xfId="1" applyFont="1" applyFill="1" applyBorder="1" applyAlignment="1">
      <alignment vertical="top" wrapText="1"/>
    </xf>
    <xf numFmtId="4" fontId="15" fillId="13" borderId="18" xfId="1" applyNumberFormat="1" applyFont="1" applyFill="1" applyBorder="1" applyAlignment="1">
      <alignment horizontal="right" vertical="top" shrinkToFit="1"/>
    </xf>
    <xf numFmtId="0" fontId="15" fillId="14" borderId="7" xfId="1" applyFont="1" applyFill="1" applyBorder="1" applyAlignment="1">
      <alignment vertical="top" wrapText="1"/>
    </xf>
    <xf numFmtId="4" fontId="15" fillId="13" borderId="7" xfId="1" applyNumberFormat="1" applyFont="1" applyFill="1" applyBorder="1" applyAlignment="1">
      <alignment horizontal="right" vertical="top" shrinkToFit="1"/>
    </xf>
    <xf numFmtId="4" fontId="17" fillId="13" borderId="1" xfId="1" applyNumberFormat="1" applyFont="1" applyFill="1" applyBorder="1" applyAlignment="1">
      <alignment vertical="top"/>
    </xf>
    <xf numFmtId="4" fontId="1" fillId="13" borderId="1" xfId="1" applyNumberFormat="1" applyFont="1" applyFill="1" applyBorder="1" applyAlignment="1">
      <alignment vertical="top"/>
    </xf>
    <xf numFmtId="0" fontId="16" fillId="2" borderId="1" xfId="1" applyFont="1" applyFill="1" applyBorder="1" applyAlignment="1">
      <alignment vertical="top" wrapText="1"/>
    </xf>
    <xf numFmtId="0" fontId="16" fillId="2" borderId="2" xfId="1" applyFont="1" applyFill="1" applyBorder="1" applyAlignment="1">
      <alignment vertical="top" wrapText="1"/>
    </xf>
    <xf numFmtId="4" fontId="2" fillId="13" borderId="1" xfId="1" applyNumberFormat="1" applyFill="1" applyBorder="1" applyAlignment="1">
      <alignment horizontal="right" vertical="top"/>
    </xf>
    <xf numFmtId="0" fontId="28" fillId="0" borderId="0" xfId="3" applyFont="1"/>
    <xf numFmtId="0" fontId="28" fillId="0" borderId="7" xfId="3" applyFont="1" applyBorder="1"/>
    <xf numFmtId="0" fontId="28" fillId="0" borderId="7" xfId="3" applyFont="1" applyBorder="1" applyAlignment="1">
      <alignment horizontal="center" vertical="top" wrapText="1"/>
    </xf>
    <xf numFmtId="0" fontId="28" fillId="0" borderId="7" xfId="3" applyFont="1" applyBorder="1" applyAlignment="1">
      <alignment horizontal="left"/>
    </xf>
    <xf numFmtId="3" fontId="28" fillId="0" borderId="7" xfId="3" applyNumberFormat="1" applyFont="1" applyBorder="1" applyAlignment="1">
      <alignment horizontal="right"/>
    </xf>
    <xf numFmtId="3" fontId="28" fillId="0" borderId="7" xfId="3" applyNumberFormat="1" applyFont="1" applyBorder="1"/>
    <xf numFmtId="3" fontId="28" fillId="0" borderId="7" xfId="3" applyNumberFormat="1" applyFont="1" applyBorder="1" applyAlignment="1">
      <alignment wrapText="1"/>
    </xf>
    <xf numFmtId="164" fontId="28" fillId="0" borderId="7" xfId="3" applyNumberFormat="1" applyFont="1" applyBorder="1"/>
    <xf numFmtId="3" fontId="23" fillId="0" borderId="7" xfId="3" applyNumberFormat="1" applyFont="1" applyBorder="1"/>
    <xf numFmtId="3" fontId="23" fillId="0" borderId="7" xfId="3" applyNumberFormat="1" applyFont="1" applyBorder="1" applyAlignment="1">
      <alignment wrapText="1"/>
    </xf>
    <xf numFmtId="4" fontId="17" fillId="13" borderId="1" xfId="1" applyNumberFormat="1" applyFont="1" applyFill="1" applyBorder="1" applyAlignment="1">
      <alignment horizontal="right" vertical="top" shrinkToFit="1"/>
    </xf>
    <xf numFmtId="4" fontId="15" fillId="13" borderId="1" xfId="1" applyNumberFormat="1" applyFont="1" applyFill="1" applyBorder="1" applyAlignment="1">
      <alignment horizontal="right" vertical="top" shrinkToFit="1"/>
    </xf>
    <xf numFmtId="0" fontId="10" fillId="2" borderId="0" xfId="1" applyFont="1" applyFill="1" applyBorder="1" applyAlignment="1">
      <alignment vertical="top" wrapText="1"/>
    </xf>
    <xf numFmtId="49" fontId="15" fillId="2" borderId="5" xfId="0" applyNumberFormat="1" applyFont="1" applyFill="1" applyBorder="1" applyAlignment="1">
      <alignment horizontal="center" vertical="top" shrinkToFi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" fontId="17" fillId="15" borderId="1" xfId="1" applyNumberFormat="1" applyFont="1" applyFill="1" applyBorder="1" applyAlignment="1">
      <alignment vertical="top"/>
    </xf>
    <xf numFmtId="4" fontId="27" fillId="0" borderId="18" xfId="1" applyNumberFormat="1" applyFont="1" applyFill="1" applyBorder="1" applyAlignment="1">
      <alignment horizontal="right" vertical="top" shrinkToFit="1"/>
    </xf>
    <xf numFmtId="49" fontId="15" fillId="0" borderId="2" xfId="0" applyNumberFormat="1" applyFont="1" applyFill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3" fillId="2" borderId="0" xfId="1" applyFont="1" applyFill="1" applyBorder="1" applyAlignment="1">
      <alignment horizontal="center" wrapText="1"/>
    </xf>
    <xf numFmtId="0" fontId="3" fillId="2" borderId="0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4" xfId="1" applyFont="1" applyBorder="1" applyAlignment="1">
      <alignment horizontal="center" vertical="center" wrapText="1"/>
    </xf>
    <xf numFmtId="0" fontId="2" fillId="2" borderId="5" xfId="1" applyFont="1" applyBorder="1" applyAlignment="1">
      <alignment horizontal="center" vertical="center" wrapText="1"/>
    </xf>
    <xf numFmtId="0" fontId="2" fillId="2" borderId="6" xfId="1" applyFont="1" applyBorder="1" applyAlignment="1">
      <alignment horizontal="center" vertical="center" wrapText="1"/>
    </xf>
    <xf numFmtId="49" fontId="20" fillId="5" borderId="14" xfId="0" applyNumberFormat="1" applyFont="1" applyFill="1" applyBorder="1" applyAlignment="1">
      <alignment horizontal="center" vertical="top"/>
    </xf>
    <xf numFmtId="49" fontId="20" fillId="5" borderId="0" xfId="0" applyNumberFormat="1" applyFont="1" applyFill="1" applyBorder="1" applyAlignment="1">
      <alignment horizontal="center" vertical="top"/>
    </xf>
    <xf numFmtId="49" fontId="20" fillId="5" borderId="15" xfId="0" applyNumberFormat="1" applyFont="1" applyFill="1" applyBorder="1" applyAlignment="1">
      <alignment horizontal="center" vertical="top"/>
    </xf>
    <xf numFmtId="49" fontId="20" fillId="4" borderId="4" xfId="0" applyNumberFormat="1" applyFont="1" applyFill="1" applyBorder="1" applyAlignment="1">
      <alignment horizontal="center" vertical="top" wrapText="1"/>
    </xf>
    <xf numFmtId="49" fontId="20" fillId="4" borderId="5" xfId="0" applyNumberFormat="1" applyFont="1" applyFill="1" applyBorder="1" applyAlignment="1">
      <alignment horizontal="center" vertical="top" wrapText="1"/>
    </xf>
    <xf numFmtId="49" fontId="20" fillId="4" borderId="6" xfId="0" applyNumberFormat="1" applyFont="1" applyFill="1" applyBorder="1" applyAlignment="1">
      <alignment horizontal="center" vertical="top" wrapText="1"/>
    </xf>
    <xf numFmtId="49" fontId="20" fillId="4" borderId="16" xfId="0" applyNumberFormat="1" applyFont="1" applyFill="1" applyBorder="1" applyAlignment="1">
      <alignment horizontal="center" vertical="top" shrinkToFit="1"/>
    </xf>
    <xf numFmtId="49" fontId="20" fillId="4" borderId="12" xfId="0" applyNumberFormat="1" applyFont="1" applyFill="1" applyBorder="1" applyAlignment="1">
      <alignment horizontal="center" vertical="top" shrinkToFit="1"/>
    </xf>
    <xf numFmtId="49" fontId="20" fillId="4" borderId="17" xfId="0" applyNumberFormat="1" applyFont="1" applyFill="1" applyBorder="1" applyAlignment="1">
      <alignment horizontal="center" vertical="top" shrinkToFit="1"/>
    </xf>
    <xf numFmtId="49" fontId="22" fillId="4" borderId="7" xfId="0" applyNumberFormat="1" applyFont="1" applyFill="1" applyBorder="1" applyAlignment="1">
      <alignment horizontal="center" vertical="top" shrinkToFit="1"/>
    </xf>
    <xf numFmtId="0" fontId="23" fillId="0" borderId="9" xfId="3" applyFont="1" applyBorder="1" applyAlignment="1">
      <alignment horizontal="left"/>
    </xf>
    <xf numFmtId="0" fontId="23" fillId="0" borderId="11" xfId="3" applyFont="1" applyBorder="1" applyAlignment="1">
      <alignment horizontal="left"/>
    </xf>
    <xf numFmtId="0" fontId="23" fillId="0" borderId="0" xfId="3" applyFont="1" applyAlignment="1">
      <alignment horizontal="center"/>
    </xf>
    <xf numFmtId="0" fontId="23" fillId="0" borderId="9" xfId="3" applyFont="1" applyBorder="1" applyAlignment="1">
      <alignment horizontal="center"/>
    </xf>
    <xf numFmtId="0" fontId="23" fillId="0" borderId="11" xfId="3" applyFont="1" applyBorder="1" applyAlignment="1">
      <alignment horizontal="center"/>
    </xf>
    <xf numFmtId="0" fontId="23" fillId="0" borderId="10" xfId="3" applyFont="1" applyBorder="1" applyAlignment="1">
      <alignment horizontal="center"/>
    </xf>
  </cellXfs>
  <cellStyles count="36">
    <cellStyle name="br" xfId="4"/>
    <cellStyle name="col" xfId="5"/>
    <cellStyle name="st16" xfId="2"/>
    <cellStyle name="style0" xfId="6"/>
    <cellStyle name="td" xfId="7"/>
    <cellStyle name="tr" xfId="8"/>
    <cellStyle name="xl21" xfId="9"/>
    <cellStyle name="xl22" xfId="10"/>
    <cellStyle name="xl23" xfId="11"/>
    <cellStyle name="xl24" xfId="12"/>
    <cellStyle name="xl25" xfId="13"/>
    <cellStyle name="xl26" xfId="14"/>
    <cellStyle name="xl27" xfId="15"/>
    <cellStyle name="xl28" xfId="16"/>
    <cellStyle name="xl29" xfId="17"/>
    <cellStyle name="xl30" xfId="18"/>
    <cellStyle name="xl31" xfId="19"/>
    <cellStyle name="xl32" xfId="20"/>
    <cellStyle name="xl33" xfId="21"/>
    <cellStyle name="xl34" xfId="22"/>
    <cellStyle name="xl35" xfId="23"/>
    <cellStyle name="xl36" xfId="24"/>
    <cellStyle name="xl37" xfId="25"/>
    <cellStyle name="xl38" xfId="26"/>
    <cellStyle name="xl39" xfId="27"/>
    <cellStyle name="xl40" xfId="28"/>
    <cellStyle name="xl41" xfId="29"/>
    <cellStyle name="xl42" xfId="30"/>
    <cellStyle name="xl43" xfId="31"/>
    <cellStyle name="xl44" xfId="32"/>
    <cellStyle name="xl45" xfId="33"/>
    <cellStyle name="xl46" xfId="34"/>
    <cellStyle name="xl64" xfId="35"/>
    <cellStyle name="Обычный" xfId="0" builtinId="0"/>
    <cellStyle name="Обычный 2" xfId="3"/>
    <cellStyle name="Обычный_Рачет расходов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3"/>
  <sheetViews>
    <sheetView showGridLines="0" workbookViewId="0">
      <pane xSplit="2" ySplit="16" topLeftCell="C17" activePane="bottomRight" state="frozen"/>
      <selection pane="topRight" activeCell="C1" sqref="C1"/>
      <selection pane="bottomLeft" activeCell="A16" sqref="A16"/>
      <selection pane="bottomRight" activeCell="J9" sqref="J9"/>
    </sheetView>
  </sheetViews>
  <sheetFormatPr defaultRowHeight="12.75" outlineLevelRow="7"/>
  <cols>
    <col min="1" max="1" width="69.5703125" style="1" customWidth="1"/>
    <col min="2" max="2" width="5.85546875" style="1" customWidth="1"/>
    <col min="3" max="3" width="13.140625" style="1" customWidth="1"/>
    <col min="4" max="4" width="5.5703125" style="1" customWidth="1"/>
    <col min="5" max="5" width="5.28515625" style="1" customWidth="1"/>
    <col min="6" max="6" width="11.85546875" style="1" customWidth="1"/>
    <col min="7" max="7" width="11.42578125" style="1" customWidth="1"/>
    <col min="8" max="8" width="12.28515625" style="1" customWidth="1"/>
    <col min="9" max="9" width="12.5703125" style="1" customWidth="1"/>
    <col min="10" max="10" width="12.42578125" style="1" customWidth="1"/>
    <col min="11" max="12" width="11.7109375" style="1" customWidth="1"/>
    <col min="13" max="13" width="12.28515625" style="1" customWidth="1"/>
    <col min="14" max="16384" width="9.140625" style="1"/>
  </cols>
  <sheetData>
    <row r="1" spans="1:13" ht="15.75" customHeight="1">
      <c r="A1" s="234" t="s">
        <v>226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13" ht="15.75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</row>
    <row r="3" spans="1:13">
      <c r="A3" s="236" t="s">
        <v>0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</row>
    <row r="4" spans="1:13" ht="54.6" customHeight="1">
      <c r="A4" s="237" t="s">
        <v>1</v>
      </c>
      <c r="B4" s="238" t="s">
        <v>66</v>
      </c>
      <c r="C4" s="239"/>
      <c r="D4" s="239"/>
      <c r="E4" s="240"/>
      <c r="F4" s="237" t="s">
        <v>227</v>
      </c>
      <c r="G4" s="237" t="s">
        <v>228</v>
      </c>
      <c r="H4" s="241" t="s">
        <v>6</v>
      </c>
      <c r="I4" s="242"/>
      <c r="J4" s="243"/>
      <c r="K4" s="241" t="s">
        <v>7</v>
      </c>
      <c r="L4" s="242"/>
      <c r="M4" s="243"/>
    </row>
    <row r="5" spans="1:13" ht="25.5">
      <c r="A5" s="237"/>
      <c r="B5" s="12" t="s">
        <v>2</v>
      </c>
      <c r="C5" s="12" t="s">
        <v>3</v>
      </c>
      <c r="D5" s="12" t="s">
        <v>4</v>
      </c>
      <c r="E5" s="12" t="s">
        <v>5</v>
      </c>
      <c r="F5" s="237"/>
      <c r="G5" s="237"/>
      <c r="H5" s="2" t="s">
        <v>84</v>
      </c>
      <c r="I5" s="2" t="s">
        <v>177</v>
      </c>
      <c r="J5" s="2" t="s">
        <v>229</v>
      </c>
      <c r="K5" s="2" t="s">
        <v>84</v>
      </c>
      <c r="L5" s="2" t="s">
        <v>177</v>
      </c>
      <c r="M5" s="2" t="s">
        <v>229</v>
      </c>
    </row>
    <row r="6" spans="1:13" ht="15">
      <c r="A6" s="14" t="s">
        <v>8</v>
      </c>
      <c r="B6" s="231"/>
      <c r="C6" s="232"/>
      <c r="D6" s="232"/>
      <c r="E6" s="233"/>
      <c r="F6" s="58">
        <f t="shared" ref="F6" si="0">F7-F13</f>
        <v>-437928.75999999978</v>
      </c>
      <c r="G6" s="58">
        <f>G7-G13</f>
        <v>30650.929999999702</v>
      </c>
      <c r="H6" s="58">
        <f t="shared" ref="H6" si="1">H7-H13</f>
        <v>-1079497.3399999999</v>
      </c>
      <c r="I6" s="58">
        <f t="shared" ref="I6:M6" si="2">I7-I13</f>
        <v>-879483</v>
      </c>
      <c r="J6" s="58">
        <f t="shared" si="2"/>
        <v>-80644</v>
      </c>
      <c r="K6" s="58">
        <f t="shared" si="2"/>
        <v>-980175</v>
      </c>
      <c r="L6" s="58">
        <f t="shared" si="2"/>
        <v>-980175</v>
      </c>
      <c r="M6" s="58">
        <f t="shared" si="2"/>
        <v>-980175</v>
      </c>
    </row>
    <row r="7" spans="1:13" ht="15">
      <c r="A7" s="14" t="s">
        <v>99</v>
      </c>
      <c r="B7" s="231"/>
      <c r="C7" s="232"/>
      <c r="D7" s="232"/>
      <c r="E7" s="233"/>
      <c r="F7" s="58">
        <f t="shared" ref="F7:G7" si="3">F8+F12+F10+F11+F9</f>
        <v>5497645.1899999995</v>
      </c>
      <c r="G7" s="58">
        <f t="shared" si="3"/>
        <v>2290625.67</v>
      </c>
      <c r="H7" s="58">
        <f t="shared" ref="H7" si="4">H8+H12+H10+H11+H9</f>
        <v>3467256</v>
      </c>
      <c r="I7" s="58">
        <f t="shared" ref="I7:M7" si="5">I8+I12+I10+I11+I9</f>
        <v>3678892</v>
      </c>
      <c r="J7" s="58">
        <f t="shared" si="5"/>
        <v>3470956</v>
      </c>
      <c r="K7" s="58">
        <f t="shared" si="5"/>
        <v>0</v>
      </c>
      <c r="L7" s="58">
        <f t="shared" si="5"/>
        <v>0</v>
      </c>
      <c r="M7" s="58">
        <f t="shared" si="5"/>
        <v>0</v>
      </c>
    </row>
    <row r="8" spans="1:13" ht="25.5">
      <c r="A8" s="15" t="s">
        <v>263</v>
      </c>
      <c r="B8" s="231"/>
      <c r="C8" s="232"/>
      <c r="D8" s="232"/>
      <c r="E8" s="233"/>
      <c r="F8" s="188">
        <f>1120299+39257.19+8781</f>
        <v>1168337.19</v>
      </c>
      <c r="G8" s="189">
        <f>407789.24+18500+8781</f>
        <v>435070.24</v>
      </c>
      <c r="H8" s="207">
        <f>1050688+H184+H189+H194+H199+H205+H210+H215</f>
        <v>1114577</v>
      </c>
      <c r="I8" s="207">
        <f>1057324+I184+I189+I194+I199+I205+I210+I215</f>
        <v>1126213</v>
      </c>
      <c r="J8" s="207">
        <f>1064388+J184+J189+J194+J199+J205+J210+J215</f>
        <v>1118277</v>
      </c>
      <c r="K8" s="188">
        <f t="shared" ref="K8:M8" si="6">K184+K189+K194+K199+K205+K210+K215</f>
        <v>0</v>
      </c>
      <c r="L8" s="188">
        <f t="shared" si="6"/>
        <v>0</v>
      </c>
      <c r="M8" s="188">
        <f t="shared" si="6"/>
        <v>0</v>
      </c>
    </row>
    <row r="9" spans="1:13" ht="15">
      <c r="A9" s="15" t="s">
        <v>100</v>
      </c>
      <c r="B9" s="78"/>
      <c r="C9" s="79"/>
      <c r="D9" s="79"/>
      <c r="E9" s="80"/>
      <c r="F9" s="59">
        <f>1169097+700000</f>
        <v>1869097</v>
      </c>
      <c r="G9" s="102"/>
      <c r="H9" s="59">
        <f>H76+H174+H181+H186+H191+H196+H202+H207+H212</f>
        <v>0</v>
      </c>
      <c r="I9" s="59">
        <f t="shared" ref="I9:M9" si="7">I76+I174+I181+I186+I191+I196+I202+I207+I212</f>
        <v>200000</v>
      </c>
      <c r="J9" s="59">
        <f t="shared" si="7"/>
        <v>0</v>
      </c>
      <c r="K9" s="59">
        <f t="shared" si="7"/>
        <v>0</v>
      </c>
      <c r="L9" s="59">
        <f t="shared" si="7"/>
        <v>0</v>
      </c>
      <c r="M9" s="59">
        <f t="shared" si="7"/>
        <v>0</v>
      </c>
    </row>
    <row r="10" spans="1:13" ht="15">
      <c r="A10" s="15" t="s">
        <v>101</v>
      </c>
      <c r="B10" s="78"/>
      <c r="C10" s="79"/>
      <c r="D10" s="79"/>
      <c r="E10" s="80"/>
      <c r="F10" s="59">
        <v>27452</v>
      </c>
      <c r="G10" s="102">
        <v>21667</v>
      </c>
      <c r="H10" s="59">
        <f>H217</f>
        <v>0</v>
      </c>
      <c r="I10" s="59">
        <f t="shared" ref="I10:M10" si="8">I217</f>
        <v>0</v>
      </c>
      <c r="J10" s="59">
        <f t="shared" si="8"/>
        <v>0</v>
      </c>
      <c r="K10" s="59">
        <f t="shared" si="8"/>
        <v>0</v>
      </c>
      <c r="L10" s="59">
        <f t="shared" si="8"/>
        <v>0</v>
      </c>
      <c r="M10" s="59">
        <f t="shared" si="8"/>
        <v>0</v>
      </c>
    </row>
    <row r="11" spans="1:13" ht="15">
      <c r="A11" s="16" t="s">
        <v>9</v>
      </c>
      <c r="B11" s="231"/>
      <c r="C11" s="232"/>
      <c r="D11" s="232"/>
      <c r="E11" s="233"/>
      <c r="F11" s="60">
        <f>475000+137239.78+150000-85159.78</f>
        <v>677080</v>
      </c>
      <c r="G11" s="103">
        <f>196762.4+109215.81+150000-85159.78</f>
        <v>370818.42999999993</v>
      </c>
      <c r="H11" s="60">
        <f>H89+H99+H106+H183+H188+H193+H198+H204+H209+H214</f>
        <v>597000</v>
      </c>
      <c r="I11" s="60">
        <f t="shared" ref="I11:M11" si="9">I89+I99+I106+I183+I188+I193+I198+I204+I209+I214</f>
        <v>597000</v>
      </c>
      <c r="J11" s="60">
        <f t="shared" si="9"/>
        <v>597000</v>
      </c>
      <c r="K11" s="60">
        <f t="shared" si="9"/>
        <v>0</v>
      </c>
      <c r="L11" s="60">
        <f t="shared" si="9"/>
        <v>0</v>
      </c>
      <c r="M11" s="60">
        <f t="shared" si="9"/>
        <v>0</v>
      </c>
    </row>
    <row r="12" spans="1:13" ht="15">
      <c r="A12" s="16" t="s">
        <v>10</v>
      </c>
      <c r="B12" s="231"/>
      <c r="C12" s="232"/>
      <c r="D12" s="232"/>
      <c r="E12" s="233"/>
      <c r="F12" s="59">
        <v>1755679</v>
      </c>
      <c r="G12" s="102">
        <v>1463070</v>
      </c>
      <c r="H12" s="59">
        <v>1755679</v>
      </c>
      <c r="I12" s="59">
        <v>1755679</v>
      </c>
      <c r="J12" s="59">
        <v>1755679</v>
      </c>
      <c r="K12" s="59"/>
      <c r="L12" s="59"/>
      <c r="M12" s="59"/>
    </row>
    <row r="13" spans="1:13" ht="15">
      <c r="A13" s="14" t="s">
        <v>11</v>
      </c>
      <c r="B13" s="231"/>
      <c r="C13" s="232"/>
      <c r="D13" s="232"/>
      <c r="E13" s="233"/>
      <c r="F13" s="61">
        <f t="shared" ref="F13:M13" si="10">F17+F93+F95+F105+F216</f>
        <v>5935573.9499999993</v>
      </c>
      <c r="G13" s="61">
        <f t="shared" si="10"/>
        <v>2259974.7400000002</v>
      </c>
      <c r="H13" s="61">
        <f t="shared" si="10"/>
        <v>4546753.34</v>
      </c>
      <c r="I13" s="61">
        <f t="shared" si="10"/>
        <v>4558375</v>
      </c>
      <c r="J13" s="61">
        <f t="shared" si="10"/>
        <v>3551600</v>
      </c>
      <c r="K13" s="61">
        <f t="shared" si="10"/>
        <v>980175</v>
      </c>
      <c r="L13" s="61">
        <f t="shared" si="10"/>
        <v>980175</v>
      </c>
      <c r="M13" s="61">
        <f t="shared" si="10"/>
        <v>980175</v>
      </c>
    </row>
    <row r="14" spans="1:13" ht="14.25">
      <c r="A14" s="177" t="s">
        <v>199</v>
      </c>
      <c r="B14" s="178"/>
      <c r="C14" s="179"/>
      <c r="D14" s="179"/>
      <c r="E14" s="180"/>
      <c r="F14" s="181"/>
      <c r="G14" s="181"/>
      <c r="H14" s="181"/>
      <c r="I14" s="181"/>
      <c r="J14" s="181"/>
      <c r="K14" s="181"/>
      <c r="L14" s="181"/>
      <c r="M14" s="181"/>
    </row>
    <row r="15" spans="1:13" ht="14.25">
      <c r="A15" s="177" t="s">
        <v>200</v>
      </c>
      <c r="B15" s="178"/>
      <c r="C15" s="179"/>
      <c r="D15" s="179"/>
      <c r="E15" s="180"/>
      <c r="F15" s="181"/>
      <c r="G15" s="181"/>
      <c r="H15" s="181"/>
      <c r="I15" s="181"/>
      <c r="J15" s="181"/>
      <c r="K15" s="181"/>
      <c r="L15" s="181">
        <f>L13-L14</f>
        <v>980175</v>
      </c>
      <c r="M15" s="181">
        <f>M13-M14</f>
        <v>980175</v>
      </c>
    </row>
    <row r="16" spans="1:13" ht="15">
      <c r="A16" s="134" t="s">
        <v>85</v>
      </c>
      <c r="B16" s="135"/>
      <c r="C16" s="136"/>
      <c r="D16" s="136"/>
      <c r="E16" s="137"/>
      <c r="F16" s="138">
        <f>F17+F93+F95+F105-F76-F89-F99-F106-F174-F181-F183-F186-F188-F191-F193-F196-F198-F202-F204-F207-F209-F212-F214</f>
        <v>3511944.9499999993</v>
      </c>
      <c r="G16" s="138">
        <f t="shared" ref="G16:M16" si="11">G17+G93+G95+G105-G76-G89-G99-G106-G174-G181-G183-G186-G188-G191-G193-G196-G198-G202-G204-G207-G209-G212-G214</f>
        <v>2020566.7700000005</v>
      </c>
      <c r="H16" s="138">
        <f t="shared" si="11"/>
        <v>3949753.34</v>
      </c>
      <c r="I16" s="138">
        <f t="shared" si="11"/>
        <v>3761375</v>
      </c>
      <c r="J16" s="138">
        <f t="shared" si="11"/>
        <v>2954600</v>
      </c>
      <c r="K16" s="138">
        <f t="shared" si="11"/>
        <v>980175</v>
      </c>
      <c r="L16" s="138">
        <f t="shared" si="11"/>
        <v>980175</v>
      </c>
      <c r="M16" s="138">
        <f t="shared" si="11"/>
        <v>980175</v>
      </c>
    </row>
    <row r="17" spans="1:13" ht="27.75" customHeight="1">
      <c r="A17" s="93" t="s">
        <v>130</v>
      </c>
      <c r="B17" s="247" t="s">
        <v>163</v>
      </c>
      <c r="C17" s="248"/>
      <c r="D17" s="248"/>
      <c r="E17" s="249"/>
      <c r="F17" s="92">
        <f>F18+F22+F25+F60+F70+F73+F78+F81+F82+F83+F86+F89</f>
        <v>1890340.69</v>
      </c>
      <c r="G17" s="92">
        <f t="shared" ref="G17:M17" si="12">G18+G22+G25+G60+G70+G73+G78+G81+G82+G83+G86+G89</f>
        <v>1138508.0000000002</v>
      </c>
      <c r="H17" s="92">
        <f t="shared" si="12"/>
        <v>1369490.8900000001</v>
      </c>
      <c r="I17" s="92">
        <f t="shared" si="12"/>
        <v>1528199</v>
      </c>
      <c r="J17" s="92">
        <f t="shared" si="12"/>
        <v>1240976</v>
      </c>
      <c r="K17" s="92">
        <f t="shared" si="12"/>
        <v>980175</v>
      </c>
      <c r="L17" s="92">
        <f t="shared" si="12"/>
        <v>980175</v>
      </c>
      <c r="M17" s="92">
        <f t="shared" si="12"/>
        <v>980175</v>
      </c>
    </row>
    <row r="18" spans="1:13" outlineLevel="4">
      <c r="A18" s="3" t="s">
        <v>75</v>
      </c>
      <c r="B18" s="17" t="s">
        <v>12</v>
      </c>
      <c r="C18" s="18"/>
      <c r="D18" s="17"/>
      <c r="E18" s="17"/>
      <c r="F18" s="62">
        <f>SUM(F19:F21)</f>
        <v>0</v>
      </c>
      <c r="G18" s="62">
        <f t="shared" ref="G18:M18" si="13">SUM(G19:G21)</f>
        <v>0</v>
      </c>
      <c r="H18" s="62">
        <f t="shared" si="13"/>
        <v>0</v>
      </c>
      <c r="I18" s="62">
        <f t="shared" si="13"/>
        <v>0</v>
      </c>
      <c r="J18" s="62">
        <f t="shared" si="13"/>
        <v>0</v>
      </c>
      <c r="K18" s="62">
        <f t="shared" si="13"/>
        <v>0</v>
      </c>
      <c r="L18" s="62">
        <f t="shared" si="13"/>
        <v>0</v>
      </c>
      <c r="M18" s="62">
        <f t="shared" si="13"/>
        <v>0</v>
      </c>
    </row>
    <row r="19" spans="1:13" ht="13.5" customHeight="1" outlineLevel="7">
      <c r="A19" s="4" t="s">
        <v>14</v>
      </c>
      <c r="B19" s="19" t="s">
        <v>12</v>
      </c>
      <c r="C19" s="20" t="s">
        <v>102</v>
      </c>
      <c r="D19" s="19" t="s">
        <v>15</v>
      </c>
      <c r="E19" s="19" t="s">
        <v>58</v>
      </c>
      <c r="F19" s="64"/>
      <c r="G19" s="65"/>
      <c r="H19" s="64"/>
      <c r="I19" s="63"/>
      <c r="J19" s="63"/>
      <c r="K19" s="64"/>
      <c r="L19" s="64"/>
      <c r="M19" s="64"/>
    </row>
    <row r="20" spans="1:13" ht="12.75" customHeight="1" outlineLevel="7">
      <c r="A20" s="4" t="s">
        <v>103</v>
      </c>
      <c r="B20" s="19" t="s">
        <v>12</v>
      </c>
      <c r="C20" s="20" t="s">
        <v>104</v>
      </c>
      <c r="D20" s="19" t="s">
        <v>21</v>
      </c>
      <c r="E20" s="19" t="s">
        <v>58</v>
      </c>
      <c r="F20" s="64"/>
      <c r="G20" s="65"/>
      <c r="H20" s="64"/>
      <c r="I20" s="63"/>
      <c r="J20" s="63"/>
      <c r="K20" s="64"/>
      <c r="L20" s="64"/>
      <c r="M20" s="64"/>
    </row>
    <row r="21" spans="1:13" ht="14.25" customHeight="1" outlineLevel="7">
      <c r="A21" s="4" t="s">
        <v>16</v>
      </c>
      <c r="B21" s="19" t="s">
        <v>12</v>
      </c>
      <c r="C21" s="20" t="s">
        <v>104</v>
      </c>
      <c r="D21" s="19" t="s">
        <v>22</v>
      </c>
      <c r="E21" s="19" t="s">
        <v>58</v>
      </c>
      <c r="F21" s="64"/>
      <c r="G21" s="65"/>
      <c r="H21" s="64"/>
      <c r="I21" s="63"/>
      <c r="J21" s="63"/>
      <c r="K21" s="64"/>
      <c r="L21" s="64"/>
      <c r="M21" s="64"/>
    </row>
    <row r="22" spans="1:13" outlineLevel="4">
      <c r="A22" s="3" t="s">
        <v>106</v>
      </c>
      <c r="B22" s="17" t="s">
        <v>17</v>
      </c>
      <c r="C22" s="21" t="s">
        <v>105</v>
      </c>
      <c r="D22" s="17" t="s">
        <v>13</v>
      </c>
      <c r="E22" s="19"/>
      <c r="F22" s="62">
        <f t="shared" ref="F22" si="14">SUM(F23:F24)</f>
        <v>509961</v>
      </c>
      <c r="G22" s="62">
        <f>SUM(G23:G24)</f>
        <v>344307.59</v>
      </c>
      <c r="H22" s="62">
        <f t="shared" ref="H22" si="15">SUM(H23:H24)</f>
        <v>521387</v>
      </c>
      <c r="I22" s="62">
        <f t="shared" ref="I22:M22" si="16">SUM(I23:I24)</f>
        <v>521387</v>
      </c>
      <c r="J22" s="62">
        <f t="shared" si="16"/>
        <v>521387</v>
      </c>
      <c r="K22" s="62">
        <f t="shared" si="16"/>
        <v>521387</v>
      </c>
      <c r="L22" s="62">
        <f t="shared" si="16"/>
        <v>521387</v>
      </c>
      <c r="M22" s="62">
        <f t="shared" si="16"/>
        <v>521387</v>
      </c>
    </row>
    <row r="23" spans="1:13" outlineLevel="7">
      <c r="A23" s="4" t="s">
        <v>182</v>
      </c>
      <c r="B23" s="19" t="s">
        <v>17</v>
      </c>
      <c r="C23" s="87" t="s">
        <v>105</v>
      </c>
      <c r="D23" s="19" t="s">
        <v>18</v>
      </c>
      <c r="E23" s="19" t="s">
        <v>58</v>
      </c>
      <c r="F23" s="63">
        <v>391675</v>
      </c>
      <c r="G23" s="65">
        <v>265921.13</v>
      </c>
      <c r="H23" s="63">
        <v>400451</v>
      </c>
      <c r="I23" s="63">
        <v>400451</v>
      </c>
      <c r="J23" s="63">
        <v>400451</v>
      </c>
      <c r="K23" s="63">
        <v>400451</v>
      </c>
      <c r="L23" s="63">
        <v>400451</v>
      </c>
      <c r="M23" s="63">
        <v>400451</v>
      </c>
    </row>
    <row r="24" spans="1:13" outlineLevel="7">
      <c r="A24" s="4" t="s">
        <v>80</v>
      </c>
      <c r="B24" s="19" t="s">
        <v>17</v>
      </c>
      <c r="C24" s="87" t="s">
        <v>105</v>
      </c>
      <c r="D24" s="19" t="s">
        <v>59</v>
      </c>
      <c r="E24" s="19" t="s">
        <v>58</v>
      </c>
      <c r="F24" s="65">
        <v>118286</v>
      </c>
      <c r="G24" s="65">
        <v>78386.460000000006</v>
      </c>
      <c r="H24" s="65">
        <v>120936</v>
      </c>
      <c r="I24" s="65">
        <v>120936</v>
      </c>
      <c r="J24" s="65">
        <v>120936</v>
      </c>
      <c r="K24" s="65">
        <v>120936</v>
      </c>
      <c r="L24" s="65">
        <v>120936</v>
      </c>
      <c r="M24" s="65">
        <v>120936</v>
      </c>
    </row>
    <row r="25" spans="1:13" ht="25.5" outlineLevel="4">
      <c r="A25" s="3" t="s">
        <v>108</v>
      </c>
      <c r="B25" s="17" t="s">
        <v>17</v>
      </c>
      <c r="C25" s="21" t="s">
        <v>107</v>
      </c>
      <c r="D25" s="17" t="s">
        <v>13</v>
      </c>
      <c r="E25" s="17"/>
      <c r="F25" s="62">
        <f>F26+F27+F28+F31+F38+F54+F55+F56</f>
        <v>724808.69</v>
      </c>
      <c r="G25" s="62">
        <f t="shared" ref="G25:M25" si="17">G26+G27+G28+G31+G38+G54+G55+G56</f>
        <v>470150.84</v>
      </c>
      <c r="H25" s="62">
        <f t="shared" si="17"/>
        <v>780994.89</v>
      </c>
      <c r="I25" s="62">
        <f t="shared" si="17"/>
        <v>725480</v>
      </c>
      <c r="J25" s="62">
        <f t="shared" si="17"/>
        <v>660480</v>
      </c>
      <c r="K25" s="62">
        <f t="shared" si="17"/>
        <v>458788</v>
      </c>
      <c r="L25" s="62">
        <f t="shared" si="17"/>
        <v>458788</v>
      </c>
      <c r="M25" s="62">
        <f t="shared" si="17"/>
        <v>458788</v>
      </c>
    </row>
    <row r="26" spans="1:13" outlineLevel="7">
      <c r="A26" s="82" t="s">
        <v>196</v>
      </c>
      <c r="B26" s="83" t="s">
        <v>17</v>
      </c>
      <c r="C26" s="87" t="s">
        <v>107</v>
      </c>
      <c r="D26" s="83" t="s">
        <v>18</v>
      </c>
      <c r="E26" s="83" t="s">
        <v>58</v>
      </c>
      <c r="F26" s="65">
        <v>344612</v>
      </c>
      <c r="G26" s="65">
        <v>229447.79</v>
      </c>
      <c r="H26" s="65">
        <v>352372</v>
      </c>
      <c r="I26" s="65">
        <v>352372</v>
      </c>
      <c r="J26" s="65">
        <v>352372</v>
      </c>
      <c r="K26" s="65">
        <v>352372</v>
      </c>
      <c r="L26" s="65">
        <v>352372</v>
      </c>
      <c r="M26" s="65">
        <v>352372</v>
      </c>
    </row>
    <row r="27" spans="1:13" outlineLevel="7">
      <c r="A27" s="4" t="s">
        <v>53</v>
      </c>
      <c r="B27" s="19" t="s">
        <v>17</v>
      </c>
      <c r="C27" s="87" t="s">
        <v>107</v>
      </c>
      <c r="D27" s="19" t="s">
        <v>59</v>
      </c>
      <c r="E27" s="19" t="s">
        <v>58</v>
      </c>
      <c r="F27" s="65">
        <v>104073</v>
      </c>
      <c r="G27" s="65">
        <v>65797.600000000006</v>
      </c>
      <c r="H27" s="65">
        <v>106416</v>
      </c>
      <c r="I27" s="65">
        <v>106416</v>
      </c>
      <c r="J27" s="65">
        <v>106416</v>
      </c>
      <c r="K27" s="65">
        <v>106416</v>
      </c>
      <c r="L27" s="65">
        <v>106416</v>
      </c>
      <c r="M27" s="65">
        <v>106416</v>
      </c>
    </row>
    <row r="28" spans="1:13" outlineLevel="7">
      <c r="A28" s="4"/>
      <c r="B28" s="19" t="s">
        <v>17</v>
      </c>
      <c r="C28" s="87" t="s">
        <v>107</v>
      </c>
      <c r="D28" s="19" t="s">
        <v>20</v>
      </c>
      <c r="E28" s="19" t="s">
        <v>58</v>
      </c>
      <c r="F28" s="65">
        <f>SUM(F29:F30)</f>
        <v>14400</v>
      </c>
      <c r="G28" s="65">
        <f t="shared" ref="G28:M28" si="18">SUM(G29:G30)</f>
        <v>4299.46</v>
      </c>
      <c r="H28" s="65">
        <f t="shared" si="18"/>
        <v>28800</v>
      </c>
      <c r="I28" s="65">
        <f t="shared" si="18"/>
        <v>28800</v>
      </c>
      <c r="J28" s="65">
        <f t="shared" si="18"/>
        <v>28800</v>
      </c>
      <c r="K28" s="65">
        <f t="shared" si="18"/>
        <v>0</v>
      </c>
      <c r="L28" s="65">
        <f t="shared" si="18"/>
        <v>0</v>
      </c>
      <c r="M28" s="65">
        <f t="shared" si="18"/>
        <v>0</v>
      </c>
    </row>
    <row r="29" spans="1:13" outlineLevel="7">
      <c r="A29" s="4" t="s">
        <v>19</v>
      </c>
      <c r="B29" s="19"/>
      <c r="C29" s="22"/>
      <c r="D29" s="19"/>
      <c r="E29" s="19"/>
      <c r="F29" s="65">
        <v>14400</v>
      </c>
      <c r="G29" s="65">
        <v>4299.46</v>
      </c>
      <c r="H29" s="65">
        <v>28800</v>
      </c>
      <c r="I29" s="65">
        <v>28800</v>
      </c>
      <c r="J29" s="65">
        <v>28800</v>
      </c>
      <c r="K29" s="65"/>
      <c r="L29" s="65"/>
      <c r="M29" s="65"/>
    </row>
    <row r="30" spans="1:13" outlineLevel="7">
      <c r="A30" s="4" t="s">
        <v>86</v>
      </c>
      <c r="B30" s="19"/>
      <c r="C30" s="22"/>
      <c r="D30" s="19"/>
      <c r="E30" s="19"/>
      <c r="F30" s="65"/>
      <c r="G30" s="65"/>
      <c r="H30" s="65"/>
      <c r="I30" s="65"/>
      <c r="J30" s="65"/>
      <c r="K30" s="65"/>
      <c r="L30" s="65"/>
      <c r="M30" s="65"/>
    </row>
    <row r="31" spans="1:13" ht="25.5" outlineLevel="5">
      <c r="A31" s="4" t="s">
        <v>74</v>
      </c>
      <c r="B31" s="19" t="s">
        <v>17</v>
      </c>
      <c r="C31" s="87" t="s">
        <v>107</v>
      </c>
      <c r="D31" s="19" t="s">
        <v>21</v>
      </c>
      <c r="E31" s="19" t="s">
        <v>58</v>
      </c>
      <c r="F31" s="65">
        <f>SUM(F32:F37)-44414</f>
        <v>40986</v>
      </c>
      <c r="G31" s="65">
        <f>SUM(G32:G37)</f>
        <v>28885.550000000003</v>
      </c>
      <c r="H31" s="65">
        <f t="shared" ref="H31:M31" si="19">SUM(H32:H37)</f>
        <v>59570.89</v>
      </c>
      <c r="I31" s="65">
        <f t="shared" si="19"/>
        <v>148056</v>
      </c>
      <c r="J31" s="65">
        <f t="shared" si="19"/>
        <v>83056</v>
      </c>
      <c r="K31" s="65">
        <f t="shared" si="19"/>
        <v>0</v>
      </c>
      <c r="L31" s="65">
        <f t="shared" si="19"/>
        <v>0</v>
      </c>
      <c r="M31" s="65">
        <f t="shared" si="19"/>
        <v>0</v>
      </c>
    </row>
    <row r="32" spans="1:13" ht="25.5" outlineLevel="7">
      <c r="A32" s="8" t="s">
        <v>230</v>
      </c>
      <c r="B32" s="23"/>
      <c r="C32" s="24"/>
      <c r="D32" s="23"/>
      <c r="E32" s="23"/>
      <c r="F32" s="66">
        <v>10000</v>
      </c>
      <c r="G32" s="66">
        <v>6207.1</v>
      </c>
      <c r="H32" s="66">
        <v>10118</v>
      </c>
      <c r="I32" s="66">
        <v>10118</v>
      </c>
      <c r="J32" s="66">
        <v>10118</v>
      </c>
      <c r="K32" s="66"/>
      <c r="L32" s="66"/>
      <c r="M32" s="66"/>
    </row>
    <row r="33" spans="1:13" outlineLevel="7">
      <c r="A33" s="9" t="s">
        <v>188</v>
      </c>
      <c r="B33" s="25"/>
      <c r="C33" s="26"/>
      <c r="D33" s="25"/>
      <c r="E33" s="25"/>
      <c r="F33" s="66"/>
      <c r="G33" s="66"/>
      <c r="H33" s="66"/>
      <c r="I33" s="66"/>
      <c r="J33" s="66"/>
      <c r="K33" s="66"/>
      <c r="L33" s="66"/>
      <c r="M33" s="66"/>
    </row>
    <row r="34" spans="1:13" ht="38.25" outlineLevel="7">
      <c r="A34" s="9" t="s">
        <v>231</v>
      </c>
      <c r="B34" s="25"/>
      <c r="C34" s="26"/>
      <c r="D34" s="25"/>
      <c r="E34" s="25"/>
      <c r="F34" s="66">
        <v>17000</v>
      </c>
      <c r="G34" s="66">
        <v>9178.4500000000007</v>
      </c>
      <c r="H34" s="66">
        <v>20542.89</v>
      </c>
      <c r="I34" s="66">
        <v>19028</v>
      </c>
      <c r="J34" s="66">
        <v>19028</v>
      </c>
      <c r="K34" s="66"/>
      <c r="L34" s="66"/>
      <c r="M34" s="66"/>
    </row>
    <row r="35" spans="1:13" ht="25.5" outlineLevel="7">
      <c r="A35" s="8" t="s">
        <v>232</v>
      </c>
      <c r="B35" s="23"/>
      <c r="C35" s="24"/>
      <c r="D35" s="23"/>
      <c r="E35" s="23"/>
      <c r="F35" s="66"/>
      <c r="G35" s="66"/>
      <c r="H35" s="66">
        <v>4410</v>
      </c>
      <c r="I35" s="66">
        <v>4410</v>
      </c>
      <c r="J35" s="66">
        <v>4410</v>
      </c>
      <c r="K35" s="66"/>
      <c r="L35" s="66"/>
      <c r="M35" s="66"/>
    </row>
    <row r="36" spans="1:13" ht="51" outlineLevel="7">
      <c r="A36" s="8" t="s">
        <v>265</v>
      </c>
      <c r="B36" s="23"/>
      <c r="C36" s="24"/>
      <c r="D36" s="23"/>
      <c r="E36" s="23"/>
      <c r="F36" s="66">
        <v>33400</v>
      </c>
      <c r="G36" s="66">
        <v>13500</v>
      </c>
      <c r="H36" s="66">
        <v>24500</v>
      </c>
      <c r="I36" s="66">
        <v>24500</v>
      </c>
      <c r="J36" s="66">
        <v>24500</v>
      </c>
      <c r="K36" s="66"/>
      <c r="L36" s="66"/>
      <c r="M36" s="66"/>
    </row>
    <row r="37" spans="1:13" ht="25.5" outlineLevel="7">
      <c r="A37" s="8" t="s">
        <v>233</v>
      </c>
      <c r="B37" s="23"/>
      <c r="C37" s="24"/>
      <c r="D37" s="23"/>
      <c r="E37" s="23"/>
      <c r="F37" s="67">
        <v>25000</v>
      </c>
      <c r="G37" s="66"/>
      <c r="H37" s="67"/>
      <c r="I37" s="67">
        <v>90000</v>
      </c>
      <c r="J37" s="67">
        <v>25000</v>
      </c>
      <c r="K37" s="67"/>
      <c r="L37" s="67"/>
      <c r="M37" s="67"/>
    </row>
    <row r="38" spans="1:13" outlineLevel="5">
      <c r="A38" s="4" t="s">
        <v>87</v>
      </c>
      <c r="B38" s="19" t="s">
        <v>17</v>
      </c>
      <c r="C38" s="87" t="s">
        <v>107</v>
      </c>
      <c r="D38" s="19" t="s">
        <v>22</v>
      </c>
      <c r="E38" s="19" t="s">
        <v>58</v>
      </c>
      <c r="F38" s="68">
        <f>SUM(F39:F53)</f>
        <v>150699.43</v>
      </c>
      <c r="G38" s="68">
        <f>SUM(G39:G53)</f>
        <v>133500.43</v>
      </c>
      <c r="H38" s="68">
        <f t="shared" ref="H38:M38" si="20">SUM(H39:H53)</f>
        <v>202544</v>
      </c>
      <c r="I38" s="68">
        <f t="shared" si="20"/>
        <v>58544</v>
      </c>
      <c r="J38" s="68">
        <f t="shared" si="20"/>
        <v>58544</v>
      </c>
      <c r="K38" s="68">
        <f t="shared" si="20"/>
        <v>0</v>
      </c>
      <c r="L38" s="68">
        <f t="shared" si="20"/>
        <v>0</v>
      </c>
      <c r="M38" s="68">
        <f t="shared" si="20"/>
        <v>0</v>
      </c>
    </row>
    <row r="39" spans="1:13" outlineLevel="5">
      <c r="A39" s="8" t="s">
        <v>23</v>
      </c>
      <c r="B39" s="23"/>
      <c r="C39" s="24"/>
      <c r="D39" s="23"/>
      <c r="E39" s="23"/>
      <c r="F39" s="67">
        <v>2000</v>
      </c>
      <c r="G39" s="66"/>
      <c r="H39" s="67">
        <v>4000</v>
      </c>
      <c r="I39" s="67">
        <v>4000</v>
      </c>
      <c r="J39" s="67">
        <v>4000</v>
      </c>
      <c r="K39" s="67"/>
      <c r="L39" s="67"/>
      <c r="M39" s="67"/>
    </row>
    <row r="40" spans="1:13" outlineLevel="7">
      <c r="A40" s="11" t="s">
        <v>235</v>
      </c>
      <c r="B40" s="173"/>
      <c r="C40" s="175"/>
      <c r="D40" s="174"/>
      <c r="E40" s="29"/>
      <c r="F40" s="67">
        <v>0</v>
      </c>
      <c r="G40" s="75"/>
      <c r="H40" s="67">
        <v>120000</v>
      </c>
      <c r="I40" s="67"/>
      <c r="J40" s="67"/>
      <c r="K40" s="67"/>
      <c r="L40" s="67"/>
      <c r="M40" s="67"/>
    </row>
    <row r="41" spans="1:13" outlineLevel="7">
      <c r="A41" s="11" t="s">
        <v>186</v>
      </c>
      <c r="B41" s="173"/>
      <c r="C41" s="175"/>
      <c r="D41" s="174"/>
      <c r="E41" s="29"/>
      <c r="F41" s="67">
        <f>30000-30000</f>
        <v>0</v>
      </c>
      <c r="G41" s="75"/>
      <c r="H41" s="67"/>
      <c r="I41" s="67"/>
      <c r="J41" s="67"/>
      <c r="K41" s="67"/>
      <c r="L41" s="67"/>
      <c r="M41" s="67"/>
    </row>
    <row r="42" spans="1:13" ht="15" customHeight="1" outlineLevel="7">
      <c r="A42" s="8" t="s">
        <v>91</v>
      </c>
      <c r="B42" s="23"/>
      <c r="C42" s="31"/>
      <c r="D42" s="23"/>
      <c r="E42" s="23"/>
      <c r="F42" s="67">
        <v>6650</v>
      </c>
      <c r="G42" s="66">
        <v>6650</v>
      </c>
      <c r="H42" s="67">
        <v>6000</v>
      </c>
      <c r="I42" s="67">
        <v>6000</v>
      </c>
      <c r="J42" s="67">
        <v>6000</v>
      </c>
      <c r="K42" s="67"/>
      <c r="L42" s="67"/>
      <c r="M42" s="67"/>
    </row>
    <row r="43" spans="1:13" ht="15" customHeight="1" outlineLevel="7">
      <c r="A43" s="8" t="s">
        <v>187</v>
      </c>
      <c r="B43" s="23"/>
      <c r="C43" s="172"/>
      <c r="D43" s="23"/>
      <c r="E43" s="23"/>
      <c r="F43" s="67">
        <f>1600-1600</f>
        <v>0</v>
      </c>
      <c r="G43" s="66"/>
      <c r="H43" s="67"/>
      <c r="I43" s="67"/>
      <c r="J43" s="67"/>
      <c r="K43" s="67"/>
      <c r="L43" s="67"/>
      <c r="M43" s="67"/>
    </row>
    <row r="44" spans="1:13" outlineLevel="7">
      <c r="A44" s="8" t="s">
        <v>236</v>
      </c>
      <c r="B44" s="23"/>
      <c r="C44" s="24"/>
      <c r="D44" s="23"/>
      <c r="E44" s="23"/>
      <c r="F44" s="67">
        <f>2715-2715</f>
        <v>0</v>
      </c>
      <c r="G44" s="66"/>
      <c r="H44" s="67">
        <v>6408</v>
      </c>
      <c r="I44" s="67">
        <v>6408</v>
      </c>
      <c r="J44" s="67">
        <v>6408</v>
      </c>
      <c r="K44" s="67"/>
      <c r="L44" s="67"/>
      <c r="M44" s="67"/>
    </row>
    <row r="45" spans="1:13" outlineLevel="7">
      <c r="A45" s="11" t="s">
        <v>88</v>
      </c>
      <c r="B45" s="29"/>
      <c r="C45" s="30"/>
      <c r="D45" s="29"/>
      <c r="E45" s="29"/>
      <c r="F45" s="67"/>
      <c r="G45" s="75"/>
      <c r="H45" s="67"/>
      <c r="I45" s="67"/>
      <c r="J45" s="67"/>
      <c r="K45" s="67"/>
      <c r="L45" s="67"/>
      <c r="M45" s="67"/>
    </row>
    <row r="46" spans="1:13" outlineLevel="7">
      <c r="A46" s="10" t="s">
        <v>237</v>
      </c>
      <c r="B46" s="27"/>
      <c r="C46" s="28"/>
      <c r="D46" s="27"/>
      <c r="E46" s="27"/>
      <c r="F46" s="67">
        <v>8524</v>
      </c>
      <c r="G46" s="75"/>
      <c r="H46" s="67">
        <v>10936</v>
      </c>
      <c r="I46" s="67">
        <v>10936</v>
      </c>
      <c r="J46" s="67">
        <v>10936</v>
      </c>
      <c r="K46" s="67"/>
      <c r="L46" s="67"/>
      <c r="M46" s="67"/>
    </row>
    <row r="47" spans="1:13" outlineLevel="7">
      <c r="A47" s="10" t="s">
        <v>83</v>
      </c>
      <c r="B47" s="27"/>
      <c r="C47" s="28"/>
      <c r="D47" s="27"/>
      <c r="E47" s="27"/>
      <c r="F47" s="67">
        <f>2600-2600</f>
        <v>0</v>
      </c>
      <c r="G47" s="75"/>
      <c r="H47" s="67"/>
      <c r="I47" s="67"/>
      <c r="J47" s="67"/>
      <c r="K47" s="67"/>
      <c r="L47" s="67"/>
      <c r="M47" s="67"/>
    </row>
    <row r="48" spans="1:13" ht="27.75" customHeight="1" outlineLevel="7">
      <c r="A48" s="10" t="s">
        <v>238</v>
      </c>
      <c r="B48" s="27"/>
      <c r="C48" s="28"/>
      <c r="D48" s="27"/>
      <c r="E48" s="27"/>
      <c r="F48" s="67">
        <v>16000</v>
      </c>
      <c r="G48" s="75">
        <v>9325</v>
      </c>
      <c r="H48" s="67">
        <v>13200</v>
      </c>
      <c r="I48" s="67">
        <v>13200</v>
      </c>
      <c r="J48" s="67">
        <v>13200</v>
      </c>
      <c r="K48" s="67"/>
      <c r="L48" s="67"/>
      <c r="M48" s="67"/>
    </row>
    <row r="49" spans="1:13" outlineLevel="7">
      <c r="A49" s="10" t="s">
        <v>239</v>
      </c>
      <c r="B49" s="27"/>
      <c r="C49" s="28"/>
      <c r="D49" s="27"/>
      <c r="E49" s="27"/>
      <c r="F49" s="67">
        <f>15000-15000</f>
        <v>0</v>
      </c>
      <c r="G49" s="75"/>
      <c r="H49" s="67">
        <v>24000</v>
      </c>
      <c r="I49" s="67"/>
      <c r="J49" s="67"/>
      <c r="K49" s="67"/>
      <c r="L49" s="67"/>
      <c r="M49" s="67"/>
    </row>
    <row r="50" spans="1:13" ht="13.5" customHeight="1" outlineLevel="7">
      <c r="A50" s="10" t="s">
        <v>267</v>
      </c>
      <c r="B50" s="27"/>
      <c r="C50" s="28"/>
      <c r="D50" s="27"/>
      <c r="E50" s="27"/>
      <c r="F50" s="75">
        <v>5062.43</v>
      </c>
      <c r="G50" s="75">
        <v>5062.43</v>
      </c>
      <c r="H50" s="67"/>
      <c r="I50" s="67"/>
      <c r="J50" s="67"/>
      <c r="K50" s="67"/>
      <c r="L50" s="67"/>
      <c r="M50" s="67"/>
    </row>
    <row r="51" spans="1:13" outlineLevel="7">
      <c r="A51" s="10" t="s">
        <v>266</v>
      </c>
      <c r="B51" s="27"/>
      <c r="C51" s="28"/>
      <c r="D51" s="27"/>
      <c r="E51" s="27"/>
      <c r="F51" s="75">
        <v>100328</v>
      </c>
      <c r="G51" s="75">
        <v>100328</v>
      </c>
      <c r="H51" s="67"/>
      <c r="I51" s="67"/>
      <c r="J51" s="67"/>
      <c r="K51" s="67"/>
      <c r="L51" s="67"/>
      <c r="M51" s="67"/>
    </row>
    <row r="52" spans="1:13" outlineLevel="7">
      <c r="A52" s="8" t="s">
        <v>240</v>
      </c>
      <c r="B52" s="23"/>
      <c r="C52" s="24"/>
      <c r="D52" s="23"/>
      <c r="E52" s="23"/>
      <c r="F52" s="67">
        <v>10135</v>
      </c>
      <c r="G52" s="67">
        <v>10135</v>
      </c>
      <c r="H52" s="67">
        <v>12000</v>
      </c>
      <c r="I52" s="67">
        <v>12000</v>
      </c>
      <c r="J52" s="67">
        <v>12000</v>
      </c>
      <c r="K52" s="67"/>
      <c r="L52" s="67"/>
      <c r="M52" s="67"/>
    </row>
    <row r="53" spans="1:13" outlineLevel="7">
      <c r="A53" s="8" t="s">
        <v>241</v>
      </c>
      <c r="B53" s="23"/>
      <c r="C53" s="24"/>
      <c r="D53" s="23"/>
      <c r="E53" s="23"/>
      <c r="F53" s="67">
        <v>2000</v>
      </c>
      <c r="G53" s="67">
        <v>2000</v>
      </c>
      <c r="H53" s="67">
        <v>6000</v>
      </c>
      <c r="I53" s="67">
        <v>6000</v>
      </c>
      <c r="J53" s="67">
        <v>6000</v>
      </c>
      <c r="K53" s="67"/>
      <c r="L53" s="67"/>
      <c r="M53" s="67"/>
    </row>
    <row r="54" spans="1:13" ht="25.5" outlineLevel="7">
      <c r="A54" s="195" t="s">
        <v>234</v>
      </c>
      <c r="B54" s="35" t="s">
        <v>17</v>
      </c>
      <c r="C54" s="87" t="s">
        <v>107</v>
      </c>
      <c r="D54" s="35" t="s">
        <v>243</v>
      </c>
      <c r="E54" s="35" t="s">
        <v>58</v>
      </c>
      <c r="F54" s="196">
        <f>70722-4317.74</f>
        <v>66404.259999999995</v>
      </c>
      <c r="G54" s="73">
        <f>7062.11</f>
        <v>7062.11</v>
      </c>
      <c r="H54" s="196">
        <v>27694</v>
      </c>
      <c r="I54" s="196">
        <v>27694</v>
      </c>
      <c r="J54" s="196">
        <v>27694</v>
      </c>
      <c r="K54" s="196"/>
      <c r="L54" s="196"/>
      <c r="M54" s="196"/>
    </row>
    <row r="55" spans="1:13" outlineLevel="7">
      <c r="A55" s="4" t="s">
        <v>92</v>
      </c>
      <c r="B55" s="19" t="s">
        <v>17</v>
      </c>
      <c r="C55" s="87" t="s">
        <v>107</v>
      </c>
      <c r="D55" s="19" t="s">
        <v>24</v>
      </c>
      <c r="E55" s="19" t="s">
        <v>58</v>
      </c>
      <c r="F55" s="65">
        <v>1000</v>
      </c>
      <c r="G55" s="65"/>
      <c r="H55" s="65">
        <v>1000</v>
      </c>
      <c r="I55" s="65">
        <v>1000</v>
      </c>
      <c r="J55" s="65">
        <v>1000</v>
      </c>
      <c r="K55" s="65"/>
      <c r="L55" s="65"/>
      <c r="M55" s="65"/>
    </row>
    <row r="56" spans="1:13" outlineLevel="7">
      <c r="A56" s="49"/>
      <c r="B56" s="50" t="s">
        <v>17</v>
      </c>
      <c r="C56" s="87" t="s">
        <v>107</v>
      </c>
      <c r="D56" s="50" t="s">
        <v>26</v>
      </c>
      <c r="E56" s="50" t="s">
        <v>58</v>
      </c>
      <c r="F56" s="69">
        <f>SUM(F57:F59)</f>
        <v>2634</v>
      </c>
      <c r="G56" s="69">
        <f t="shared" ref="G56:M56" si="21">SUM(G57:G59)</f>
        <v>1157.9000000000001</v>
      </c>
      <c r="H56" s="69">
        <f t="shared" si="21"/>
        <v>2598</v>
      </c>
      <c r="I56" s="69">
        <f t="shared" si="21"/>
        <v>2598</v>
      </c>
      <c r="J56" s="69">
        <f t="shared" si="21"/>
        <v>2598</v>
      </c>
      <c r="K56" s="69">
        <f t="shared" si="21"/>
        <v>0</v>
      </c>
      <c r="L56" s="69">
        <f t="shared" si="21"/>
        <v>0</v>
      </c>
      <c r="M56" s="69">
        <f t="shared" si="21"/>
        <v>0</v>
      </c>
    </row>
    <row r="57" spans="1:13" outlineLevel="7">
      <c r="A57" s="54" t="s">
        <v>25</v>
      </c>
      <c r="B57" s="55"/>
      <c r="C57" s="31"/>
      <c r="D57" s="55"/>
      <c r="E57" s="55"/>
      <c r="F57" s="70">
        <f>1010+133</f>
        <v>1143</v>
      </c>
      <c r="G57" s="70">
        <v>1143</v>
      </c>
      <c r="H57" s="70">
        <v>1143</v>
      </c>
      <c r="I57" s="70">
        <v>1143</v>
      </c>
      <c r="J57" s="70">
        <v>1143</v>
      </c>
      <c r="K57" s="70"/>
      <c r="L57" s="70"/>
      <c r="M57" s="70"/>
    </row>
    <row r="58" spans="1:13" outlineLevel="7">
      <c r="A58" s="54" t="s">
        <v>93</v>
      </c>
      <c r="B58" s="55"/>
      <c r="C58" s="31"/>
      <c r="D58" s="55"/>
      <c r="E58" s="55"/>
      <c r="F58" s="70">
        <f>1000-133</f>
        <v>867</v>
      </c>
      <c r="G58" s="70">
        <v>14.9</v>
      </c>
      <c r="H58" s="70">
        <v>1000</v>
      </c>
      <c r="I58" s="70">
        <v>1000</v>
      </c>
      <c r="J58" s="70">
        <v>1000</v>
      </c>
      <c r="K58" s="70"/>
      <c r="L58" s="70"/>
      <c r="M58" s="70"/>
    </row>
    <row r="59" spans="1:13" outlineLevel="7">
      <c r="A59" s="54" t="s">
        <v>98</v>
      </c>
      <c r="B59" s="55"/>
      <c r="C59" s="31"/>
      <c r="D59" s="55"/>
      <c r="E59" s="55"/>
      <c r="F59" s="70">
        <v>624</v>
      </c>
      <c r="G59" s="70"/>
      <c r="H59" s="70">
        <v>455</v>
      </c>
      <c r="I59" s="70">
        <v>455</v>
      </c>
      <c r="J59" s="70">
        <v>455</v>
      </c>
      <c r="K59" s="70"/>
      <c r="L59" s="70"/>
      <c r="M59" s="70"/>
    </row>
    <row r="60" spans="1:13" ht="25.5" outlineLevel="7">
      <c r="A60" s="139" t="s">
        <v>40</v>
      </c>
      <c r="B60" s="140"/>
      <c r="C60" s="141"/>
      <c r="D60" s="142"/>
      <c r="E60" s="142"/>
      <c r="F60" s="62">
        <f>SUM(F61:F69)</f>
        <v>372382</v>
      </c>
      <c r="G60" s="62">
        <f t="shared" ref="G60:M60" si="22">SUM(G61:G69)</f>
        <v>213411</v>
      </c>
      <c r="H60" s="62">
        <f t="shared" si="22"/>
        <v>0</v>
      </c>
      <c r="I60" s="62">
        <f t="shared" si="22"/>
        <v>0</v>
      </c>
      <c r="J60" s="62">
        <f t="shared" si="22"/>
        <v>0</v>
      </c>
      <c r="K60" s="62">
        <f t="shared" si="22"/>
        <v>0</v>
      </c>
      <c r="L60" s="62">
        <f t="shared" si="22"/>
        <v>0</v>
      </c>
      <c r="M60" s="62">
        <f t="shared" si="22"/>
        <v>0</v>
      </c>
    </row>
    <row r="61" spans="1:13" ht="38.25" outlineLevel="7">
      <c r="A61" s="8" t="s">
        <v>131</v>
      </c>
      <c r="B61" s="23" t="s">
        <v>42</v>
      </c>
      <c r="C61" s="31" t="s">
        <v>115</v>
      </c>
      <c r="D61" s="23" t="s">
        <v>41</v>
      </c>
      <c r="E61" s="23" t="s">
        <v>58</v>
      </c>
      <c r="F61" s="66">
        <v>37000</v>
      </c>
      <c r="G61" s="66">
        <v>37000</v>
      </c>
      <c r="H61" s="66"/>
      <c r="I61" s="66"/>
      <c r="J61" s="66"/>
      <c r="K61" s="66"/>
      <c r="L61" s="66"/>
      <c r="M61" s="66"/>
    </row>
    <row r="62" spans="1:13" ht="38.25" outlineLevel="7">
      <c r="A62" s="8" t="s">
        <v>132</v>
      </c>
      <c r="B62" s="23" t="s">
        <v>30</v>
      </c>
      <c r="C62" s="31" t="s">
        <v>115</v>
      </c>
      <c r="D62" s="23" t="s">
        <v>41</v>
      </c>
      <c r="E62" s="23" t="s">
        <v>58</v>
      </c>
      <c r="F62" s="66">
        <v>195000</v>
      </c>
      <c r="G62" s="66">
        <v>130000</v>
      </c>
      <c r="H62" s="66"/>
      <c r="I62" s="66"/>
      <c r="J62" s="66"/>
      <c r="K62" s="66"/>
      <c r="L62" s="66"/>
      <c r="M62" s="66"/>
    </row>
    <row r="63" spans="1:13" ht="25.5" outlineLevel="7">
      <c r="A63" s="8" t="s">
        <v>76</v>
      </c>
      <c r="B63" s="23" t="s">
        <v>30</v>
      </c>
      <c r="C63" s="31" t="s">
        <v>116</v>
      </c>
      <c r="D63" s="23" t="s">
        <v>41</v>
      </c>
      <c r="E63" s="23" t="s">
        <v>58</v>
      </c>
      <c r="F63" s="66">
        <v>25000</v>
      </c>
      <c r="G63" s="66">
        <v>25000</v>
      </c>
      <c r="H63" s="66"/>
      <c r="I63" s="66"/>
      <c r="J63" s="66"/>
      <c r="K63" s="66"/>
      <c r="L63" s="66"/>
      <c r="M63" s="66"/>
    </row>
    <row r="64" spans="1:13" ht="38.25" outlineLevel="7">
      <c r="A64" s="8" t="s">
        <v>133</v>
      </c>
      <c r="B64" s="23" t="s">
        <v>30</v>
      </c>
      <c r="C64" s="31" t="s">
        <v>117</v>
      </c>
      <c r="D64" s="23" t="s">
        <v>41</v>
      </c>
      <c r="E64" s="23" t="s">
        <v>58</v>
      </c>
      <c r="F64" s="66">
        <v>2400</v>
      </c>
      <c r="G64" s="66">
        <v>2400</v>
      </c>
      <c r="H64" s="66"/>
      <c r="I64" s="66"/>
      <c r="J64" s="66"/>
      <c r="K64" s="66"/>
      <c r="L64" s="66"/>
      <c r="M64" s="66"/>
    </row>
    <row r="65" spans="1:13" ht="27" customHeight="1" outlineLevel="7">
      <c r="A65" s="8" t="s">
        <v>77</v>
      </c>
      <c r="B65" s="23" t="s">
        <v>43</v>
      </c>
      <c r="C65" s="31" t="s">
        <v>118</v>
      </c>
      <c r="D65" s="23" t="s">
        <v>41</v>
      </c>
      <c r="E65" s="23" t="s">
        <v>58</v>
      </c>
      <c r="F65" s="66"/>
      <c r="G65" s="66"/>
      <c r="H65" s="66"/>
      <c r="I65" s="66"/>
      <c r="J65" s="66"/>
      <c r="K65" s="66"/>
      <c r="L65" s="66"/>
      <c r="M65" s="66"/>
    </row>
    <row r="66" spans="1:13" outlineLevel="7">
      <c r="A66" s="96" t="s">
        <v>90</v>
      </c>
      <c r="B66" s="23" t="s">
        <v>12</v>
      </c>
      <c r="C66" s="31" t="s">
        <v>113</v>
      </c>
      <c r="D66" s="23" t="s">
        <v>41</v>
      </c>
      <c r="E66" s="23" t="s">
        <v>58</v>
      </c>
      <c r="F66" s="94">
        <v>4424</v>
      </c>
      <c r="G66" s="94">
        <v>4424</v>
      </c>
      <c r="H66" s="94"/>
      <c r="I66" s="94"/>
      <c r="J66" s="94"/>
      <c r="K66" s="94"/>
      <c r="L66" s="94"/>
      <c r="M66" s="94"/>
    </row>
    <row r="67" spans="1:13" ht="25.5" outlineLevel="7">
      <c r="A67" s="8" t="s">
        <v>78</v>
      </c>
      <c r="B67" s="23" t="s">
        <v>39</v>
      </c>
      <c r="C67" s="31" t="s">
        <v>119</v>
      </c>
      <c r="D67" s="23" t="s">
        <v>41</v>
      </c>
      <c r="E67" s="23" t="s">
        <v>58</v>
      </c>
      <c r="F67" s="94">
        <v>101240</v>
      </c>
      <c r="G67" s="94">
        <v>7269</v>
      </c>
      <c r="H67" s="94"/>
      <c r="I67" s="94"/>
      <c r="J67" s="94"/>
      <c r="K67" s="94"/>
      <c r="L67" s="94"/>
      <c r="M67" s="94"/>
    </row>
    <row r="68" spans="1:13" ht="38.25" outlineLevel="7">
      <c r="A68" s="97" t="s">
        <v>79</v>
      </c>
      <c r="B68" s="98" t="s">
        <v>44</v>
      </c>
      <c r="C68" s="99" t="s">
        <v>120</v>
      </c>
      <c r="D68" s="98" t="s">
        <v>41</v>
      </c>
      <c r="E68" s="98" t="s">
        <v>58</v>
      </c>
      <c r="F68" s="94">
        <v>7318</v>
      </c>
      <c r="G68" s="94">
        <v>7318</v>
      </c>
      <c r="H68" s="94"/>
      <c r="I68" s="94"/>
      <c r="J68" s="94"/>
      <c r="K68" s="94"/>
      <c r="L68" s="94"/>
      <c r="M68" s="94"/>
    </row>
    <row r="69" spans="1:13" outlineLevel="7">
      <c r="A69" s="54" t="s">
        <v>114</v>
      </c>
      <c r="B69" s="100" t="s">
        <v>30</v>
      </c>
      <c r="C69" s="31" t="s">
        <v>121</v>
      </c>
      <c r="D69" s="101" t="s">
        <v>41</v>
      </c>
      <c r="E69" s="23" t="s">
        <v>58</v>
      </c>
      <c r="F69" s="94">
        <v>0</v>
      </c>
      <c r="G69" s="94">
        <v>0</v>
      </c>
      <c r="H69" s="94"/>
      <c r="I69" s="67"/>
      <c r="J69" s="67"/>
      <c r="K69" s="94"/>
      <c r="L69" s="94"/>
      <c r="M69" s="94"/>
    </row>
    <row r="70" spans="1:13" outlineLevel="4">
      <c r="A70" s="156" t="s">
        <v>178</v>
      </c>
      <c r="B70" s="17" t="s">
        <v>28</v>
      </c>
      <c r="C70" s="158" t="s">
        <v>112</v>
      </c>
      <c r="D70" s="17" t="s">
        <v>29</v>
      </c>
      <c r="E70" s="17" t="s">
        <v>58</v>
      </c>
      <c r="F70" s="157">
        <f t="shared" ref="F70:M70" si="23">SUM(F71:F72)</f>
        <v>11000</v>
      </c>
      <c r="G70" s="157">
        <f t="shared" si="23"/>
        <v>0</v>
      </c>
      <c r="H70" s="157">
        <f t="shared" si="23"/>
        <v>11000</v>
      </c>
      <c r="I70" s="157">
        <f t="shared" si="23"/>
        <v>11000</v>
      </c>
      <c r="J70" s="157">
        <f t="shared" si="23"/>
        <v>11000</v>
      </c>
      <c r="K70" s="157">
        <f t="shared" si="23"/>
        <v>0</v>
      </c>
      <c r="L70" s="157">
        <f t="shared" si="23"/>
        <v>0</v>
      </c>
      <c r="M70" s="157">
        <f t="shared" si="23"/>
        <v>0</v>
      </c>
    </row>
    <row r="71" spans="1:13" ht="28.5" customHeight="1" outlineLevel="4">
      <c r="A71" s="54" t="s">
        <v>179</v>
      </c>
      <c r="B71" s="119"/>
      <c r="C71" s="123"/>
      <c r="D71" s="121"/>
      <c r="E71" s="17"/>
      <c r="F71" s="67">
        <v>6000</v>
      </c>
      <c r="G71" s="66"/>
      <c r="H71" s="67">
        <v>6000</v>
      </c>
      <c r="I71" s="67">
        <v>6000</v>
      </c>
      <c r="J71" s="67">
        <v>6000</v>
      </c>
      <c r="K71" s="67"/>
      <c r="L71" s="67"/>
      <c r="M71" s="67"/>
    </row>
    <row r="72" spans="1:13" outlineLevel="4">
      <c r="A72" s="54" t="s">
        <v>180</v>
      </c>
      <c r="B72" s="119"/>
      <c r="C72" s="123"/>
      <c r="D72" s="121"/>
      <c r="E72" s="17"/>
      <c r="F72" s="67">
        <v>5000</v>
      </c>
      <c r="G72" s="66"/>
      <c r="H72" s="67">
        <v>5000</v>
      </c>
      <c r="I72" s="67">
        <v>5000</v>
      </c>
      <c r="J72" s="67">
        <v>5000</v>
      </c>
      <c r="K72" s="67"/>
      <c r="L72" s="67"/>
      <c r="M72" s="67"/>
    </row>
    <row r="73" spans="1:13" ht="25.5" outlineLevel="4">
      <c r="A73" s="7" t="s">
        <v>70</v>
      </c>
      <c r="B73" s="17"/>
      <c r="C73" s="21" t="s">
        <v>111</v>
      </c>
      <c r="D73" s="17" t="s">
        <v>22</v>
      </c>
      <c r="E73" s="17" t="s">
        <v>58</v>
      </c>
      <c r="F73" s="72">
        <f>SUM(F74:F77)</f>
        <v>8000</v>
      </c>
      <c r="G73" s="72">
        <f t="shared" ref="G73:M73" si="24">SUM(G74:G77)</f>
        <v>0</v>
      </c>
      <c r="H73" s="72">
        <f t="shared" si="24"/>
        <v>8000</v>
      </c>
      <c r="I73" s="72">
        <f t="shared" si="24"/>
        <v>222223</v>
      </c>
      <c r="J73" s="72">
        <f t="shared" si="24"/>
        <v>0</v>
      </c>
      <c r="K73" s="72">
        <f t="shared" si="24"/>
        <v>0</v>
      </c>
      <c r="L73" s="72">
        <f t="shared" si="24"/>
        <v>0</v>
      </c>
      <c r="M73" s="72">
        <f t="shared" si="24"/>
        <v>0</v>
      </c>
    </row>
    <row r="74" spans="1:13" ht="38.25" outlineLevel="4">
      <c r="A74" s="8" t="s">
        <v>190</v>
      </c>
      <c r="B74" s="23" t="s">
        <v>32</v>
      </c>
      <c r="C74" s="31" t="s">
        <v>111</v>
      </c>
      <c r="D74" s="23" t="s">
        <v>22</v>
      </c>
      <c r="E74" s="23" t="s">
        <v>58</v>
      </c>
      <c r="F74" s="67">
        <v>8000</v>
      </c>
      <c r="G74" s="66"/>
      <c r="H74" s="67">
        <v>8000</v>
      </c>
      <c r="I74" s="67"/>
      <c r="J74" s="67"/>
      <c r="K74" s="67"/>
      <c r="L74" s="67"/>
      <c r="M74" s="67"/>
    </row>
    <row r="75" spans="1:13" outlineLevel="4">
      <c r="A75" s="8"/>
      <c r="B75" s="23" t="s">
        <v>30</v>
      </c>
      <c r="C75" s="31" t="s">
        <v>111</v>
      </c>
      <c r="D75" s="23" t="s">
        <v>22</v>
      </c>
      <c r="E75" s="23" t="s">
        <v>58</v>
      </c>
      <c r="F75" s="67"/>
      <c r="G75" s="66"/>
      <c r="H75" s="67"/>
      <c r="I75" s="67"/>
      <c r="J75" s="67"/>
      <c r="K75" s="67"/>
      <c r="L75" s="67"/>
      <c r="M75" s="67"/>
    </row>
    <row r="76" spans="1:13" ht="25.5" outlineLevel="4">
      <c r="A76" s="8" t="s">
        <v>203</v>
      </c>
      <c r="B76" s="23" t="s">
        <v>32</v>
      </c>
      <c r="C76" s="31" t="s">
        <v>204</v>
      </c>
      <c r="D76" s="23" t="s">
        <v>22</v>
      </c>
      <c r="E76" s="23" t="s">
        <v>176</v>
      </c>
      <c r="F76" s="67"/>
      <c r="G76" s="66"/>
      <c r="H76" s="67"/>
      <c r="I76" s="197">
        <v>200000</v>
      </c>
      <c r="J76" s="67"/>
      <c r="K76" s="67"/>
      <c r="L76" s="67"/>
      <c r="M76" s="67"/>
    </row>
    <row r="77" spans="1:13" outlineLevel="4">
      <c r="A77" s="8" t="s">
        <v>205</v>
      </c>
      <c r="B77" s="23" t="s">
        <v>32</v>
      </c>
      <c r="C77" s="31" t="s">
        <v>204</v>
      </c>
      <c r="D77" s="23" t="s">
        <v>22</v>
      </c>
      <c r="E77" s="23" t="s">
        <v>82</v>
      </c>
      <c r="F77" s="67"/>
      <c r="G77" s="66"/>
      <c r="H77" s="67"/>
      <c r="I77" s="197">
        <v>22223</v>
      </c>
      <c r="J77" s="67"/>
      <c r="K77" s="67"/>
      <c r="L77" s="67"/>
      <c r="M77" s="67"/>
    </row>
    <row r="78" spans="1:13" outlineLevel="4">
      <c r="A78" s="7" t="s">
        <v>73</v>
      </c>
      <c r="B78" s="17" t="s">
        <v>30</v>
      </c>
      <c r="C78" s="21" t="s">
        <v>122</v>
      </c>
      <c r="D78" s="17" t="s">
        <v>22</v>
      </c>
      <c r="E78" s="17" t="s">
        <v>58</v>
      </c>
      <c r="F78" s="62">
        <f t="shared" ref="F78:M78" si="25">SUM(F79:F80)</f>
        <v>0</v>
      </c>
      <c r="G78" s="62">
        <f t="shared" si="25"/>
        <v>0</v>
      </c>
      <c r="H78" s="62">
        <f t="shared" si="25"/>
        <v>1000</v>
      </c>
      <c r="I78" s="62">
        <f t="shared" si="25"/>
        <v>1000</v>
      </c>
      <c r="J78" s="62">
        <f t="shared" si="25"/>
        <v>1000</v>
      </c>
      <c r="K78" s="62">
        <f t="shared" si="25"/>
        <v>0</v>
      </c>
      <c r="L78" s="62">
        <f t="shared" si="25"/>
        <v>0</v>
      </c>
      <c r="M78" s="62">
        <f t="shared" si="25"/>
        <v>0</v>
      </c>
    </row>
    <row r="79" spans="1:13" ht="25.5" outlineLevel="4">
      <c r="A79" s="8" t="s">
        <v>181</v>
      </c>
      <c r="B79" s="23"/>
      <c r="C79" s="31"/>
      <c r="D79" s="23"/>
      <c r="E79" s="23"/>
      <c r="F79" s="66"/>
      <c r="G79" s="66"/>
      <c r="H79" s="66">
        <v>1000</v>
      </c>
      <c r="I79" s="66">
        <v>1000</v>
      </c>
      <c r="J79" s="66">
        <v>1000</v>
      </c>
      <c r="K79" s="66"/>
      <c r="L79" s="66"/>
      <c r="M79" s="66"/>
    </row>
    <row r="80" spans="1:13" outlineLevel="4">
      <c r="A80" s="8"/>
      <c r="B80" s="23"/>
      <c r="C80" s="31"/>
      <c r="D80" s="23"/>
      <c r="E80" s="23"/>
      <c r="F80" s="66"/>
      <c r="G80" s="66"/>
      <c r="H80" s="66"/>
      <c r="I80" s="66"/>
      <c r="J80" s="66"/>
      <c r="K80" s="66"/>
      <c r="L80" s="66"/>
      <c r="M80" s="66"/>
    </row>
    <row r="81" spans="1:13" outlineLevel="4">
      <c r="A81" s="7" t="s">
        <v>71</v>
      </c>
      <c r="B81" s="17" t="s">
        <v>30</v>
      </c>
      <c r="C81" s="21" t="s">
        <v>123</v>
      </c>
      <c r="D81" s="17" t="s">
        <v>22</v>
      </c>
      <c r="E81" s="17" t="s">
        <v>58</v>
      </c>
      <c r="F81" s="62">
        <v>20000</v>
      </c>
      <c r="G81" s="62">
        <v>5484</v>
      </c>
      <c r="H81" s="62">
        <v>20000</v>
      </c>
      <c r="I81" s="62">
        <v>20000</v>
      </c>
      <c r="J81" s="62">
        <v>20000</v>
      </c>
      <c r="K81" s="62"/>
      <c r="L81" s="62"/>
      <c r="M81" s="62"/>
    </row>
    <row r="82" spans="1:13" ht="15.75" customHeight="1" outlineLevel="4">
      <c r="A82" s="51" t="s">
        <v>110</v>
      </c>
      <c r="B82" s="52" t="s">
        <v>27</v>
      </c>
      <c r="C82" s="53" t="s">
        <v>109</v>
      </c>
      <c r="D82" s="52" t="s">
        <v>242</v>
      </c>
      <c r="E82" s="52" t="s">
        <v>58</v>
      </c>
      <c r="F82" s="62">
        <v>65000</v>
      </c>
      <c r="G82" s="62">
        <v>65000</v>
      </c>
      <c r="H82" s="62">
        <v>0</v>
      </c>
      <c r="I82" s="62">
        <v>0</v>
      </c>
      <c r="J82" s="62">
        <v>0</v>
      </c>
      <c r="K82" s="62"/>
      <c r="L82" s="62"/>
      <c r="M82" s="62"/>
    </row>
    <row r="83" spans="1:13" ht="15.75" customHeight="1" outlineLevel="4">
      <c r="A83" s="156" t="s">
        <v>126</v>
      </c>
      <c r="B83" s="126" t="s">
        <v>30</v>
      </c>
      <c r="C83" s="56" t="s">
        <v>125</v>
      </c>
      <c r="D83" s="126" t="s">
        <v>29</v>
      </c>
      <c r="E83" s="126" t="s">
        <v>58</v>
      </c>
      <c r="F83" s="62">
        <f t="shared" ref="F83" si="26">SUM(F84:F85)</f>
        <v>7109</v>
      </c>
      <c r="G83" s="62">
        <f t="shared" ref="G83:M83" si="27">SUM(G84:G85)</f>
        <v>0</v>
      </c>
      <c r="H83" s="62">
        <f t="shared" ref="H83" si="28">SUM(H84:H85)</f>
        <v>7109</v>
      </c>
      <c r="I83" s="62">
        <f t="shared" si="27"/>
        <v>7109</v>
      </c>
      <c r="J83" s="62">
        <f t="shared" si="27"/>
        <v>7109</v>
      </c>
      <c r="K83" s="62">
        <f t="shared" si="27"/>
        <v>0</v>
      </c>
      <c r="L83" s="62">
        <f t="shared" si="27"/>
        <v>0</v>
      </c>
      <c r="M83" s="62">
        <f t="shared" si="27"/>
        <v>0</v>
      </c>
    </row>
    <row r="84" spans="1:13" ht="15.75" customHeight="1" outlineLevel="4">
      <c r="A84" s="201" t="s">
        <v>197</v>
      </c>
      <c r="B84" s="100"/>
      <c r="C84" s="31"/>
      <c r="D84" s="100"/>
      <c r="E84" s="100"/>
      <c r="F84" s="162">
        <v>7109</v>
      </c>
      <c r="G84" s="162"/>
      <c r="H84" s="200">
        <v>7109</v>
      </c>
      <c r="I84" s="200">
        <v>7109</v>
      </c>
      <c r="J84" s="200">
        <v>7109</v>
      </c>
      <c r="K84" s="162"/>
      <c r="L84" s="162"/>
      <c r="M84" s="162"/>
    </row>
    <row r="85" spans="1:13" ht="15.75" customHeight="1" outlineLevel="4">
      <c r="A85" s="54"/>
      <c r="B85" s="100"/>
      <c r="C85" s="31"/>
      <c r="D85" s="100"/>
      <c r="E85" s="100"/>
      <c r="F85" s="162"/>
      <c r="G85" s="162"/>
      <c r="H85" s="162"/>
      <c r="I85" s="162"/>
      <c r="J85" s="162"/>
      <c r="K85" s="162"/>
      <c r="L85" s="162"/>
      <c r="M85" s="162"/>
    </row>
    <row r="86" spans="1:13" ht="15.75" customHeight="1" outlineLevel="4">
      <c r="A86" s="159" t="s">
        <v>165</v>
      </c>
      <c r="B86" s="160"/>
      <c r="C86" s="161" t="s">
        <v>167</v>
      </c>
      <c r="D86" s="160" t="s">
        <v>22</v>
      </c>
      <c r="E86" s="160" t="s">
        <v>58</v>
      </c>
      <c r="F86" s="163">
        <f>F87+F88</f>
        <v>120000</v>
      </c>
      <c r="G86" s="163">
        <f t="shared" ref="G86:M86" si="29">G87+G88</f>
        <v>19176</v>
      </c>
      <c r="H86" s="163">
        <f t="shared" si="29"/>
        <v>20000</v>
      </c>
      <c r="I86" s="163">
        <f t="shared" si="29"/>
        <v>20000</v>
      </c>
      <c r="J86" s="163">
        <f t="shared" si="29"/>
        <v>20000</v>
      </c>
      <c r="K86" s="163">
        <f t="shared" si="29"/>
        <v>0</v>
      </c>
      <c r="L86" s="163">
        <f t="shared" si="29"/>
        <v>0</v>
      </c>
      <c r="M86" s="163">
        <f t="shared" si="29"/>
        <v>0</v>
      </c>
    </row>
    <row r="87" spans="1:13" ht="15.75" customHeight="1" outlineLevel="4">
      <c r="A87" s="54" t="s">
        <v>166</v>
      </c>
      <c r="B87" s="100" t="s">
        <v>39</v>
      </c>
      <c r="C87" s="99" t="s">
        <v>167</v>
      </c>
      <c r="D87" s="100" t="s">
        <v>22</v>
      </c>
      <c r="E87" s="100" t="s">
        <v>58</v>
      </c>
      <c r="F87" s="70">
        <v>20000</v>
      </c>
      <c r="G87" s="70">
        <v>19176</v>
      </c>
      <c r="H87" s="70">
        <v>20000</v>
      </c>
      <c r="I87" s="70">
        <v>20000</v>
      </c>
      <c r="J87" s="70">
        <v>20000</v>
      </c>
      <c r="K87" s="70"/>
      <c r="L87" s="70"/>
      <c r="M87" s="70"/>
    </row>
    <row r="88" spans="1:13" ht="15.75" customHeight="1" outlineLevel="4">
      <c r="A88" s="54"/>
      <c r="B88" s="100" t="s">
        <v>30</v>
      </c>
      <c r="C88" s="99" t="s">
        <v>167</v>
      </c>
      <c r="D88" s="100" t="s">
        <v>22</v>
      </c>
      <c r="E88" s="100" t="s">
        <v>58</v>
      </c>
      <c r="F88" s="70">
        <v>100000</v>
      </c>
      <c r="G88" s="70"/>
      <c r="H88" s="70"/>
      <c r="I88" s="70"/>
      <c r="J88" s="70"/>
      <c r="K88" s="70"/>
      <c r="L88" s="70"/>
      <c r="M88" s="70"/>
    </row>
    <row r="89" spans="1:13" ht="15.75" customHeight="1" outlineLevel="4">
      <c r="A89" s="198" t="s">
        <v>244</v>
      </c>
      <c r="B89" s="169" t="s">
        <v>30</v>
      </c>
      <c r="C89" s="127" t="s">
        <v>245</v>
      </c>
      <c r="D89" s="169" t="s">
        <v>18</v>
      </c>
      <c r="E89" s="169"/>
      <c r="F89" s="171">
        <f>F90+F91</f>
        <v>52080</v>
      </c>
      <c r="G89" s="171">
        <f t="shared" ref="G89:M89" si="30">G90+G91</f>
        <v>20978.57</v>
      </c>
      <c r="H89" s="171">
        <f t="shared" si="30"/>
        <v>0</v>
      </c>
      <c r="I89" s="171">
        <f t="shared" si="30"/>
        <v>0</v>
      </c>
      <c r="J89" s="171">
        <f t="shared" si="30"/>
        <v>0</v>
      </c>
      <c r="K89" s="171">
        <f t="shared" si="30"/>
        <v>0</v>
      </c>
      <c r="L89" s="171">
        <f t="shared" si="30"/>
        <v>0</v>
      </c>
      <c r="M89" s="171">
        <f t="shared" si="30"/>
        <v>0</v>
      </c>
    </row>
    <row r="90" spans="1:13" ht="15.75" customHeight="1" outlineLevel="4">
      <c r="A90" s="54"/>
      <c r="B90" s="100" t="s">
        <v>30</v>
      </c>
      <c r="C90" s="99" t="s">
        <v>245</v>
      </c>
      <c r="D90" s="100" t="s">
        <v>18</v>
      </c>
      <c r="E90" s="100" t="s">
        <v>46</v>
      </c>
      <c r="F90" s="70">
        <v>40000</v>
      </c>
      <c r="G90" s="70">
        <v>16112.58</v>
      </c>
      <c r="H90" s="202"/>
      <c r="I90" s="202"/>
      <c r="J90" s="202"/>
      <c r="K90" s="70"/>
      <c r="L90" s="70"/>
      <c r="M90" s="70"/>
    </row>
    <row r="91" spans="1:13" ht="15.75" customHeight="1" outlineLevel="4">
      <c r="A91" s="54"/>
      <c r="B91" s="100" t="s">
        <v>30</v>
      </c>
      <c r="C91" s="99" t="s">
        <v>245</v>
      </c>
      <c r="D91" s="100" t="s">
        <v>59</v>
      </c>
      <c r="E91" s="100" t="s">
        <v>46</v>
      </c>
      <c r="F91" s="70">
        <v>12080</v>
      </c>
      <c r="G91" s="70">
        <v>4865.99</v>
      </c>
      <c r="H91" s="202"/>
      <c r="I91" s="202"/>
      <c r="J91" s="202"/>
      <c r="K91" s="70"/>
      <c r="L91" s="70"/>
      <c r="M91" s="70"/>
    </row>
    <row r="92" spans="1:13" ht="15.75" customHeight="1" outlineLevel="4">
      <c r="A92" s="54"/>
      <c r="B92" s="100"/>
      <c r="C92" s="31"/>
      <c r="D92" s="100"/>
      <c r="E92" s="100"/>
      <c r="F92" s="70"/>
      <c r="G92" s="70"/>
      <c r="H92" s="70"/>
      <c r="I92" s="70"/>
      <c r="J92" s="70"/>
      <c r="K92" s="70"/>
      <c r="L92" s="70"/>
      <c r="M92" s="70"/>
    </row>
    <row r="93" spans="1:13" ht="28.5" customHeight="1" outlineLevel="4">
      <c r="A93" s="143" t="s">
        <v>160</v>
      </c>
      <c r="B93" s="244" t="s">
        <v>161</v>
      </c>
      <c r="C93" s="245"/>
      <c r="D93" s="245"/>
      <c r="E93" s="246"/>
      <c r="F93" s="144">
        <f t="shared" ref="F93:M93" si="31">F94</f>
        <v>1000</v>
      </c>
      <c r="G93" s="144">
        <f t="shared" si="31"/>
        <v>0</v>
      </c>
      <c r="H93" s="144">
        <f t="shared" si="31"/>
        <v>1000</v>
      </c>
      <c r="I93" s="144">
        <f t="shared" si="31"/>
        <v>1000</v>
      </c>
      <c r="J93" s="144">
        <f t="shared" si="31"/>
        <v>1000</v>
      </c>
      <c r="K93" s="144">
        <f t="shared" si="31"/>
        <v>0</v>
      </c>
      <c r="L93" s="144">
        <f t="shared" si="31"/>
        <v>0</v>
      </c>
      <c r="M93" s="144">
        <f t="shared" si="31"/>
        <v>0</v>
      </c>
    </row>
    <row r="94" spans="1:13" ht="25.5" outlineLevel="7">
      <c r="A94" s="7" t="s">
        <v>72</v>
      </c>
      <c r="B94" s="126" t="s">
        <v>30</v>
      </c>
      <c r="C94" s="127" t="s">
        <v>124</v>
      </c>
      <c r="D94" s="126" t="s">
        <v>22</v>
      </c>
      <c r="E94" s="126" t="s">
        <v>58</v>
      </c>
      <c r="F94" s="62">
        <v>1000</v>
      </c>
      <c r="G94" s="62"/>
      <c r="H94" s="62">
        <v>1000</v>
      </c>
      <c r="I94" s="62">
        <v>1000</v>
      </c>
      <c r="J94" s="62">
        <v>1000</v>
      </c>
      <c r="K94" s="62"/>
      <c r="L94" s="62"/>
      <c r="M94" s="62"/>
    </row>
    <row r="95" spans="1:13" ht="24" customHeight="1" outlineLevel="7">
      <c r="A95" s="145" t="s">
        <v>136</v>
      </c>
      <c r="B95" s="253" t="s">
        <v>162</v>
      </c>
      <c r="C95" s="253"/>
      <c r="D95" s="253"/>
      <c r="E95" s="253"/>
      <c r="F95" s="110">
        <f>F96+F99</f>
        <v>405000</v>
      </c>
      <c r="G95" s="110">
        <f t="shared" ref="G95:M95" si="32">G96+G99</f>
        <v>196762.4</v>
      </c>
      <c r="H95" s="110">
        <f t="shared" si="32"/>
        <v>1007000</v>
      </c>
      <c r="I95" s="110">
        <f t="shared" si="32"/>
        <v>907000</v>
      </c>
      <c r="J95" s="110">
        <f t="shared" si="32"/>
        <v>907000</v>
      </c>
      <c r="K95" s="110">
        <f t="shared" si="32"/>
        <v>0</v>
      </c>
      <c r="L95" s="110">
        <f t="shared" si="32"/>
        <v>0</v>
      </c>
      <c r="M95" s="110">
        <f t="shared" si="32"/>
        <v>0</v>
      </c>
    </row>
    <row r="96" spans="1:13" outlineLevel="7">
      <c r="A96" s="106" t="s">
        <v>89</v>
      </c>
      <c r="B96" s="107" t="s">
        <v>31</v>
      </c>
      <c r="C96" s="108"/>
      <c r="D96" s="107"/>
      <c r="E96" s="107" t="s">
        <v>58</v>
      </c>
      <c r="F96" s="109">
        <f t="shared" ref="F96" si="33">F97+F98</f>
        <v>0</v>
      </c>
      <c r="G96" s="109">
        <f t="shared" ref="G96:M96" si="34">G97+G98</f>
        <v>0</v>
      </c>
      <c r="H96" s="109">
        <f t="shared" ref="H96" si="35">H97+H98</f>
        <v>500000</v>
      </c>
      <c r="I96" s="109">
        <f t="shared" si="34"/>
        <v>400000</v>
      </c>
      <c r="J96" s="109">
        <f t="shared" si="34"/>
        <v>400000</v>
      </c>
      <c r="K96" s="109">
        <f t="shared" si="34"/>
        <v>0</v>
      </c>
      <c r="L96" s="109">
        <f t="shared" si="34"/>
        <v>0</v>
      </c>
      <c r="M96" s="109">
        <f t="shared" si="34"/>
        <v>0</v>
      </c>
    </row>
    <row r="97" spans="1:13" outlineLevel="7">
      <c r="A97" s="106" t="s">
        <v>143</v>
      </c>
      <c r="B97" s="107"/>
      <c r="C97" s="108"/>
      <c r="D97" s="107"/>
      <c r="E97" s="107"/>
      <c r="F97" s="73"/>
      <c r="G97" s="73"/>
      <c r="H97" s="73"/>
      <c r="I97" s="73"/>
      <c r="J97" s="73"/>
      <c r="K97" s="73"/>
      <c r="L97" s="73"/>
      <c r="M97" s="73"/>
    </row>
    <row r="98" spans="1:13" outlineLevel="7">
      <c r="A98" s="106" t="s">
        <v>261</v>
      </c>
      <c r="B98" s="107" t="s">
        <v>31</v>
      </c>
      <c r="C98" s="118" t="s">
        <v>248</v>
      </c>
      <c r="D98" s="107" t="s">
        <v>22</v>
      </c>
      <c r="E98" s="107" t="s">
        <v>58</v>
      </c>
      <c r="F98" s="73"/>
      <c r="G98" s="73"/>
      <c r="H98" s="73">
        <v>500000</v>
      </c>
      <c r="I98" s="73">
        <v>400000</v>
      </c>
      <c r="J98" s="73">
        <v>400000</v>
      </c>
      <c r="K98" s="73"/>
      <c r="L98" s="73"/>
      <c r="M98" s="73"/>
    </row>
    <row r="99" spans="1:13" ht="25.5" outlineLevel="7">
      <c r="A99" s="131" t="s">
        <v>45</v>
      </c>
      <c r="B99" s="132"/>
      <c r="C99" s="133"/>
      <c r="D99" s="132"/>
      <c r="E99" s="132"/>
      <c r="F99" s="62">
        <f>SUM(F100:F104)</f>
        <v>405000</v>
      </c>
      <c r="G99" s="62">
        <f t="shared" ref="G99:M99" si="36">SUM(G100:G104)</f>
        <v>196762.4</v>
      </c>
      <c r="H99" s="62">
        <f t="shared" si="36"/>
        <v>507000</v>
      </c>
      <c r="I99" s="62">
        <f t="shared" si="36"/>
        <v>507000</v>
      </c>
      <c r="J99" s="62">
        <f t="shared" si="36"/>
        <v>507000</v>
      </c>
      <c r="K99" s="62">
        <f t="shared" si="36"/>
        <v>0</v>
      </c>
      <c r="L99" s="62">
        <f t="shared" si="36"/>
        <v>0</v>
      </c>
      <c r="M99" s="62">
        <f t="shared" si="36"/>
        <v>0</v>
      </c>
    </row>
    <row r="100" spans="1:13" ht="51" outlineLevel="7">
      <c r="A100" s="129" t="s">
        <v>137</v>
      </c>
      <c r="B100" s="130" t="s">
        <v>31</v>
      </c>
      <c r="C100" s="31" t="s">
        <v>60</v>
      </c>
      <c r="D100" s="130" t="s">
        <v>22</v>
      </c>
      <c r="E100" s="130" t="s">
        <v>46</v>
      </c>
      <c r="F100" s="66">
        <v>55400</v>
      </c>
      <c r="G100" s="66">
        <v>54700</v>
      </c>
      <c r="H100" s="66"/>
      <c r="I100" s="66"/>
      <c r="J100" s="66"/>
      <c r="K100" s="66"/>
      <c r="L100" s="66"/>
      <c r="M100" s="66"/>
    </row>
    <row r="101" spans="1:13" ht="51" outlineLevel="7">
      <c r="A101" s="129" t="s">
        <v>138</v>
      </c>
      <c r="B101" s="130" t="s">
        <v>31</v>
      </c>
      <c r="C101" s="31" t="s">
        <v>61</v>
      </c>
      <c r="D101" s="130" t="s">
        <v>22</v>
      </c>
      <c r="E101" s="130" t="s">
        <v>46</v>
      </c>
      <c r="F101" s="66">
        <v>79600</v>
      </c>
      <c r="G101" s="66">
        <v>79600</v>
      </c>
      <c r="H101" s="66"/>
      <c r="I101" s="66"/>
      <c r="J101" s="66"/>
      <c r="K101" s="66"/>
      <c r="L101" s="66"/>
      <c r="M101" s="66"/>
    </row>
    <row r="102" spans="1:13" ht="51" outlineLevel="7">
      <c r="A102" s="129" t="s">
        <v>139</v>
      </c>
      <c r="B102" s="130" t="s">
        <v>31</v>
      </c>
      <c r="C102" s="31" t="s">
        <v>62</v>
      </c>
      <c r="D102" s="130" t="s">
        <v>22</v>
      </c>
      <c r="E102" s="130" t="s">
        <v>46</v>
      </c>
      <c r="F102" s="66">
        <v>120000</v>
      </c>
      <c r="G102" s="66">
        <v>44462.400000000001</v>
      </c>
      <c r="H102" s="219">
        <v>364000</v>
      </c>
      <c r="I102" s="219">
        <v>364000</v>
      </c>
      <c r="J102" s="219">
        <v>364000</v>
      </c>
      <c r="K102" s="66"/>
      <c r="L102" s="66"/>
      <c r="M102" s="66"/>
    </row>
    <row r="103" spans="1:13" ht="51" outlineLevel="7">
      <c r="A103" s="129" t="s">
        <v>140</v>
      </c>
      <c r="B103" s="130" t="s">
        <v>31</v>
      </c>
      <c r="C103" s="31" t="s">
        <v>63</v>
      </c>
      <c r="D103" s="130" t="s">
        <v>22</v>
      </c>
      <c r="E103" s="130" t="s">
        <v>46</v>
      </c>
      <c r="F103" s="66">
        <v>150000</v>
      </c>
      <c r="G103" s="66">
        <v>18000</v>
      </c>
      <c r="H103" s="219">
        <v>143000</v>
      </c>
      <c r="I103" s="219">
        <v>143000</v>
      </c>
      <c r="J103" s="219">
        <v>143000</v>
      </c>
      <c r="K103" s="66"/>
      <c r="L103" s="66"/>
      <c r="M103" s="66"/>
    </row>
    <row r="104" spans="1:13" ht="51" outlineLevel="7">
      <c r="A104" s="129" t="s">
        <v>141</v>
      </c>
      <c r="B104" s="130" t="s">
        <v>31</v>
      </c>
      <c r="C104" s="31" t="s">
        <v>64</v>
      </c>
      <c r="D104" s="130" t="s">
        <v>22</v>
      </c>
      <c r="E104" s="130" t="s">
        <v>46</v>
      </c>
      <c r="F104" s="66"/>
      <c r="G104" s="66"/>
      <c r="H104" s="66"/>
      <c r="I104" s="66"/>
      <c r="J104" s="66"/>
      <c r="K104" s="66"/>
      <c r="L104" s="66"/>
      <c r="M104" s="66"/>
    </row>
    <row r="105" spans="1:13" ht="26.25" customHeight="1" outlineLevel="7">
      <c r="A105" s="146" t="s">
        <v>144</v>
      </c>
      <c r="B105" s="250" t="s">
        <v>164</v>
      </c>
      <c r="C105" s="251"/>
      <c r="D105" s="251"/>
      <c r="E105" s="252"/>
      <c r="F105" s="110">
        <f>F106+F122+F126+F130+F135+F143+F146+F156+F161+F177+F179+F200+F173</f>
        <v>3611781.26</v>
      </c>
      <c r="G105" s="110">
        <f t="shared" ref="G105:M105" si="37">G106+G122+G126+G130+G135+G143+G146+G156+G161+G177+G179+G200+G173</f>
        <v>903037.34</v>
      </c>
      <c r="H105" s="110">
        <f t="shared" si="37"/>
        <v>2169262.4500000002</v>
      </c>
      <c r="I105" s="110">
        <f t="shared" si="37"/>
        <v>2122176</v>
      </c>
      <c r="J105" s="110">
        <f t="shared" si="37"/>
        <v>1402624</v>
      </c>
      <c r="K105" s="110">
        <f t="shared" si="37"/>
        <v>0</v>
      </c>
      <c r="L105" s="110">
        <f t="shared" si="37"/>
        <v>0</v>
      </c>
      <c r="M105" s="110">
        <f t="shared" si="37"/>
        <v>0</v>
      </c>
    </row>
    <row r="106" spans="1:13" ht="25.5" outlineLevel="7">
      <c r="A106" s="139" t="s">
        <v>45</v>
      </c>
      <c r="B106" s="147"/>
      <c r="C106" s="148"/>
      <c r="D106" s="147"/>
      <c r="E106" s="147"/>
      <c r="F106" s="62">
        <f>F107+F113+F118</f>
        <v>70000</v>
      </c>
      <c r="G106" s="62">
        <f t="shared" ref="G106:M106" si="38">G107+G113+G118</f>
        <v>0</v>
      </c>
      <c r="H106" s="62">
        <f t="shared" si="38"/>
        <v>90000</v>
      </c>
      <c r="I106" s="62">
        <f t="shared" si="38"/>
        <v>90000</v>
      </c>
      <c r="J106" s="62">
        <f t="shared" si="38"/>
        <v>90000</v>
      </c>
      <c r="K106" s="62">
        <f t="shared" si="38"/>
        <v>0</v>
      </c>
      <c r="L106" s="62">
        <f t="shared" si="38"/>
        <v>0</v>
      </c>
      <c r="M106" s="62">
        <f t="shared" si="38"/>
        <v>0</v>
      </c>
    </row>
    <row r="107" spans="1:13" ht="51" outlineLevel="7">
      <c r="A107" s="113" t="s">
        <v>128</v>
      </c>
      <c r="B107" s="34" t="s">
        <v>33</v>
      </c>
      <c r="C107" s="40" t="s">
        <v>129</v>
      </c>
      <c r="D107" s="34" t="s">
        <v>22</v>
      </c>
      <c r="E107" s="34" t="s">
        <v>46</v>
      </c>
      <c r="F107" s="81">
        <f>SUM(F108:F112)</f>
        <v>0</v>
      </c>
      <c r="G107" s="81">
        <f t="shared" ref="G107:M107" si="39">SUM(G108:G112)</f>
        <v>0</v>
      </c>
      <c r="H107" s="81">
        <f t="shared" si="39"/>
        <v>0</v>
      </c>
      <c r="I107" s="81">
        <f t="shared" si="39"/>
        <v>0</v>
      </c>
      <c r="J107" s="81">
        <f t="shared" si="39"/>
        <v>0</v>
      </c>
      <c r="K107" s="81">
        <f t="shared" si="39"/>
        <v>0</v>
      </c>
      <c r="L107" s="81">
        <f t="shared" si="39"/>
        <v>0</v>
      </c>
      <c r="M107" s="81">
        <f t="shared" si="39"/>
        <v>0</v>
      </c>
    </row>
    <row r="108" spans="1:13" outlineLevel="7">
      <c r="A108" s="10" t="s">
        <v>47</v>
      </c>
      <c r="B108" s="27"/>
      <c r="C108" s="46"/>
      <c r="D108" s="27"/>
      <c r="E108" s="27"/>
      <c r="F108" s="75"/>
      <c r="G108" s="75"/>
      <c r="H108" s="75"/>
      <c r="I108" s="75"/>
      <c r="J108" s="75"/>
      <c r="K108" s="75"/>
      <c r="L108" s="75"/>
      <c r="M108" s="75"/>
    </row>
    <row r="109" spans="1:13" outlineLevel="7">
      <c r="A109" s="10" t="s">
        <v>95</v>
      </c>
      <c r="B109" s="27"/>
      <c r="C109" s="46"/>
      <c r="D109" s="27"/>
      <c r="E109" s="27"/>
      <c r="F109" s="75"/>
      <c r="G109" s="75"/>
      <c r="H109" s="75"/>
      <c r="I109" s="75"/>
      <c r="J109" s="75"/>
      <c r="K109" s="75"/>
      <c r="L109" s="75"/>
      <c r="M109" s="75"/>
    </row>
    <row r="110" spans="1:13" outlineLevel="7">
      <c r="A110" s="10" t="s">
        <v>94</v>
      </c>
      <c r="B110" s="27"/>
      <c r="C110" s="46"/>
      <c r="D110" s="27"/>
      <c r="E110" s="27"/>
      <c r="F110" s="75"/>
      <c r="G110" s="75"/>
      <c r="H110" s="75"/>
      <c r="I110" s="75"/>
      <c r="J110" s="75"/>
      <c r="K110" s="75"/>
      <c r="L110" s="75"/>
      <c r="M110" s="75"/>
    </row>
    <row r="111" spans="1:13" outlineLevel="7">
      <c r="A111" s="10"/>
      <c r="B111" s="27"/>
      <c r="C111" s="57"/>
      <c r="D111" s="27"/>
      <c r="E111" s="27"/>
      <c r="F111" s="77"/>
      <c r="G111" s="77"/>
      <c r="H111" s="77"/>
      <c r="I111" s="77"/>
      <c r="J111" s="77"/>
      <c r="K111" s="77"/>
      <c r="L111" s="77"/>
      <c r="M111" s="77"/>
    </row>
    <row r="112" spans="1:13" outlineLevel="7">
      <c r="A112" s="111"/>
      <c r="B112" s="34"/>
      <c r="C112" s="112"/>
      <c r="D112" s="34"/>
      <c r="E112" s="34"/>
      <c r="F112" s="81"/>
      <c r="G112" s="81"/>
      <c r="H112" s="81"/>
      <c r="I112" s="81"/>
      <c r="J112" s="81"/>
      <c r="K112" s="81"/>
      <c r="L112" s="81"/>
      <c r="M112" s="81"/>
    </row>
    <row r="113" spans="1:13" ht="38.25" outlineLevel="7">
      <c r="A113" s="115" t="s">
        <v>142</v>
      </c>
      <c r="B113" s="34" t="s">
        <v>34</v>
      </c>
      <c r="C113" s="40" t="s">
        <v>127</v>
      </c>
      <c r="D113" s="34" t="s">
        <v>22</v>
      </c>
      <c r="E113" s="34" t="s">
        <v>46</v>
      </c>
      <c r="F113" s="81">
        <f>SUM(F114:F117)</f>
        <v>70000</v>
      </c>
      <c r="G113" s="81">
        <f t="shared" ref="G113:M113" si="40">SUM(G114:G117)</f>
        <v>0</v>
      </c>
      <c r="H113" s="81">
        <f t="shared" si="40"/>
        <v>70000</v>
      </c>
      <c r="I113" s="81">
        <f t="shared" si="40"/>
        <v>70000</v>
      </c>
      <c r="J113" s="81">
        <f t="shared" si="40"/>
        <v>70000</v>
      </c>
      <c r="K113" s="81">
        <f t="shared" si="40"/>
        <v>0</v>
      </c>
      <c r="L113" s="81">
        <f t="shared" si="40"/>
        <v>0</v>
      </c>
      <c r="M113" s="81">
        <f t="shared" si="40"/>
        <v>0</v>
      </c>
    </row>
    <row r="114" spans="1:13" outlineLevel="7">
      <c r="A114" s="89" t="s">
        <v>201</v>
      </c>
      <c r="B114" s="90"/>
      <c r="C114" s="46"/>
      <c r="D114" s="91"/>
      <c r="E114" s="27"/>
      <c r="F114" s="75">
        <v>70000</v>
      </c>
      <c r="G114" s="75"/>
      <c r="H114" s="218">
        <v>70000</v>
      </c>
      <c r="I114" s="218">
        <v>70000</v>
      </c>
      <c r="J114" s="218">
        <v>70000</v>
      </c>
      <c r="K114" s="75"/>
      <c r="L114" s="75"/>
      <c r="M114" s="75"/>
    </row>
    <row r="115" spans="1:13" outlineLevel="7">
      <c r="A115" s="89"/>
      <c r="B115" s="90"/>
      <c r="C115" s="46"/>
      <c r="D115" s="91"/>
      <c r="E115" s="27"/>
      <c r="F115" s="75"/>
      <c r="G115" s="75"/>
      <c r="H115" s="75"/>
      <c r="I115" s="75"/>
      <c r="J115" s="75"/>
      <c r="K115" s="75"/>
      <c r="L115" s="75"/>
      <c r="M115" s="75"/>
    </row>
    <row r="116" spans="1:13" outlineLevel="7">
      <c r="A116" s="89"/>
      <c r="B116" s="90"/>
      <c r="C116" s="46"/>
      <c r="D116" s="91"/>
      <c r="E116" s="27"/>
      <c r="F116" s="75"/>
      <c r="G116" s="75"/>
      <c r="H116" s="75"/>
      <c r="I116" s="75"/>
      <c r="J116" s="75"/>
      <c r="K116" s="75"/>
      <c r="L116" s="75"/>
      <c r="M116" s="75"/>
    </row>
    <row r="117" spans="1:13" outlineLevel="7">
      <c r="A117" s="116"/>
      <c r="B117" s="48"/>
      <c r="C117" s="114"/>
      <c r="D117" s="37"/>
      <c r="E117" s="32"/>
      <c r="F117" s="81"/>
      <c r="G117" s="81"/>
      <c r="H117" s="81"/>
      <c r="I117" s="81"/>
      <c r="J117" s="81"/>
      <c r="K117" s="81"/>
      <c r="L117" s="81"/>
      <c r="M117" s="81"/>
    </row>
    <row r="118" spans="1:13" ht="29.25" customHeight="1" outlineLevel="7">
      <c r="A118" s="117" t="s">
        <v>134</v>
      </c>
      <c r="B118" s="104" t="s">
        <v>36</v>
      </c>
      <c r="C118" s="40" t="s">
        <v>135</v>
      </c>
      <c r="D118" s="105" t="s">
        <v>22</v>
      </c>
      <c r="E118" s="34" t="s">
        <v>46</v>
      </c>
      <c r="F118" s="81">
        <f>SUM(F119:F121)</f>
        <v>0</v>
      </c>
      <c r="G118" s="81">
        <f t="shared" ref="G118:M118" si="41">SUM(G119:G121)</f>
        <v>0</v>
      </c>
      <c r="H118" s="81">
        <f t="shared" si="41"/>
        <v>20000</v>
      </c>
      <c r="I118" s="81">
        <f t="shared" si="41"/>
        <v>20000</v>
      </c>
      <c r="J118" s="81">
        <f t="shared" si="41"/>
        <v>20000</v>
      </c>
      <c r="K118" s="81">
        <f t="shared" si="41"/>
        <v>0</v>
      </c>
      <c r="L118" s="81">
        <f t="shared" si="41"/>
        <v>0</v>
      </c>
      <c r="M118" s="81">
        <f t="shared" si="41"/>
        <v>0</v>
      </c>
    </row>
    <row r="119" spans="1:13" outlineLevel="7">
      <c r="A119" s="182" t="s">
        <v>202</v>
      </c>
      <c r="B119" s="91"/>
      <c r="C119" s="46"/>
      <c r="D119" s="27"/>
      <c r="E119" s="27"/>
      <c r="F119" s="66">
        <v>0</v>
      </c>
      <c r="G119" s="66"/>
      <c r="H119" s="219">
        <v>20000</v>
      </c>
      <c r="I119" s="219">
        <v>20000</v>
      </c>
      <c r="J119" s="219">
        <v>20000</v>
      </c>
      <c r="K119" s="66"/>
      <c r="L119" s="66"/>
      <c r="M119" s="66"/>
    </row>
    <row r="120" spans="1:13" outlineLevel="3">
      <c r="A120" s="36"/>
      <c r="B120" s="37"/>
      <c r="C120" s="38"/>
      <c r="D120" s="32"/>
      <c r="E120" s="33"/>
      <c r="F120" s="71"/>
      <c r="G120" s="71"/>
      <c r="H120" s="71"/>
      <c r="I120" s="71"/>
      <c r="J120" s="71"/>
      <c r="K120" s="71"/>
      <c r="L120" s="71"/>
      <c r="M120" s="71"/>
    </row>
    <row r="121" spans="1:13" outlineLevel="4">
      <c r="A121" s="39"/>
      <c r="B121" s="32"/>
      <c r="C121" s="22"/>
      <c r="D121" s="32"/>
      <c r="E121" s="33"/>
      <c r="F121" s="71"/>
      <c r="G121" s="71"/>
      <c r="H121" s="71"/>
      <c r="I121" s="71"/>
      <c r="J121" s="71"/>
      <c r="K121" s="71"/>
      <c r="L121" s="71"/>
      <c r="M121" s="71"/>
    </row>
    <row r="122" spans="1:13" ht="25.5" outlineLevel="4">
      <c r="A122" s="7" t="s">
        <v>70</v>
      </c>
      <c r="B122" s="147"/>
      <c r="C122" s="18" t="s">
        <v>145</v>
      </c>
      <c r="D122" s="17" t="s">
        <v>22</v>
      </c>
      <c r="E122" s="17" t="s">
        <v>58</v>
      </c>
      <c r="F122" s="62">
        <f t="shared" ref="F122:M122" si="42">SUM(F123:F125)</f>
        <v>20000</v>
      </c>
      <c r="G122" s="62">
        <f t="shared" si="42"/>
        <v>20000</v>
      </c>
      <c r="H122" s="62">
        <f t="shared" si="42"/>
        <v>40000</v>
      </c>
      <c r="I122" s="62">
        <f t="shared" si="42"/>
        <v>0</v>
      </c>
      <c r="J122" s="62">
        <f t="shared" si="42"/>
        <v>0</v>
      </c>
      <c r="K122" s="62">
        <f t="shared" si="42"/>
        <v>0</v>
      </c>
      <c r="L122" s="62">
        <f t="shared" si="42"/>
        <v>0</v>
      </c>
      <c r="M122" s="62">
        <f t="shared" si="42"/>
        <v>0</v>
      </c>
    </row>
    <row r="123" spans="1:13" outlineLevel="4">
      <c r="A123" s="5" t="s">
        <v>268</v>
      </c>
      <c r="B123" s="35" t="s">
        <v>36</v>
      </c>
      <c r="C123" s="20" t="s">
        <v>145</v>
      </c>
      <c r="D123" s="35" t="s">
        <v>22</v>
      </c>
      <c r="E123" s="35" t="s">
        <v>58</v>
      </c>
      <c r="F123" s="73">
        <v>20000</v>
      </c>
      <c r="G123" s="73">
        <v>20000</v>
      </c>
      <c r="H123" s="73"/>
      <c r="I123" s="73"/>
      <c r="J123" s="73"/>
      <c r="K123" s="73"/>
      <c r="L123" s="73"/>
      <c r="M123" s="73"/>
    </row>
    <row r="124" spans="1:13" outlineLevel="4">
      <c r="A124" s="4"/>
      <c r="B124" s="19" t="s">
        <v>33</v>
      </c>
      <c r="C124" s="20" t="s">
        <v>145</v>
      </c>
      <c r="D124" s="35" t="s">
        <v>22</v>
      </c>
      <c r="E124" s="35" t="s">
        <v>58</v>
      </c>
      <c r="F124" s="65"/>
      <c r="G124" s="65"/>
      <c r="H124" s="65"/>
      <c r="I124" s="65"/>
      <c r="J124" s="65"/>
      <c r="K124" s="65"/>
      <c r="L124" s="65"/>
      <c r="M124" s="65"/>
    </row>
    <row r="125" spans="1:13" ht="25.5" outlineLevel="7">
      <c r="A125" s="8" t="s">
        <v>189</v>
      </c>
      <c r="B125" s="19" t="s">
        <v>34</v>
      </c>
      <c r="C125" s="20" t="s">
        <v>145</v>
      </c>
      <c r="D125" s="35" t="s">
        <v>22</v>
      </c>
      <c r="E125" s="35" t="s">
        <v>58</v>
      </c>
      <c r="F125" s="64">
        <v>0</v>
      </c>
      <c r="G125" s="65"/>
      <c r="H125" s="64">
        <v>40000</v>
      </c>
      <c r="I125" s="64"/>
      <c r="J125" s="64"/>
      <c r="K125" s="64"/>
      <c r="L125" s="64"/>
      <c r="M125" s="64"/>
    </row>
    <row r="126" spans="1:13" ht="25.5" outlineLevel="7">
      <c r="A126" s="7" t="s">
        <v>148</v>
      </c>
      <c r="B126" s="119" t="s">
        <v>33</v>
      </c>
      <c r="C126" s="123" t="s">
        <v>149</v>
      </c>
      <c r="D126" s="121" t="s">
        <v>22</v>
      </c>
      <c r="E126" s="17" t="s">
        <v>58</v>
      </c>
      <c r="F126" s="62">
        <f t="shared" ref="F126:M126" si="43">SUM(F127:F129)</f>
        <v>0</v>
      </c>
      <c r="G126" s="62">
        <f t="shared" si="43"/>
        <v>0</v>
      </c>
      <c r="H126" s="62">
        <f t="shared" si="43"/>
        <v>0</v>
      </c>
      <c r="I126" s="62">
        <f t="shared" si="43"/>
        <v>0</v>
      </c>
      <c r="J126" s="62">
        <f t="shared" si="43"/>
        <v>0</v>
      </c>
      <c r="K126" s="62">
        <f t="shared" si="43"/>
        <v>0</v>
      </c>
      <c r="L126" s="62">
        <f t="shared" si="43"/>
        <v>0</v>
      </c>
      <c r="M126" s="62">
        <f t="shared" si="43"/>
        <v>0</v>
      </c>
    </row>
    <row r="127" spans="1:13" outlineLevel="7">
      <c r="A127" s="8"/>
      <c r="B127" s="120"/>
      <c r="C127" s="124"/>
      <c r="D127" s="101"/>
      <c r="E127" s="23"/>
      <c r="F127" s="67"/>
      <c r="G127" s="66"/>
      <c r="H127" s="67"/>
      <c r="I127" s="67"/>
      <c r="J127" s="67"/>
      <c r="K127" s="67"/>
      <c r="L127" s="67"/>
      <c r="M127" s="67"/>
    </row>
    <row r="128" spans="1:13" outlineLevel="7">
      <c r="A128" s="8"/>
      <c r="B128" s="120"/>
      <c r="C128" s="124"/>
      <c r="D128" s="101"/>
      <c r="E128" s="23"/>
      <c r="F128" s="67"/>
      <c r="G128" s="66"/>
      <c r="H128" s="67"/>
      <c r="I128" s="67"/>
      <c r="J128" s="67"/>
      <c r="K128" s="67"/>
      <c r="L128" s="67"/>
      <c r="M128" s="67"/>
    </row>
    <row r="129" spans="1:13" outlineLevel="7">
      <c r="A129" s="8"/>
      <c r="B129" s="120"/>
      <c r="C129" s="124"/>
      <c r="D129" s="101"/>
      <c r="E129" s="23"/>
      <c r="F129" s="67"/>
      <c r="G129" s="66"/>
      <c r="H129" s="67"/>
      <c r="I129" s="67"/>
      <c r="J129" s="67"/>
      <c r="K129" s="67"/>
      <c r="L129" s="67"/>
      <c r="M129" s="67"/>
    </row>
    <row r="130" spans="1:13" outlineLevel="7">
      <c r="A130" s="7" t="s">
        <v>35</v>
      </c>
      <c r="B130" s="119" t="s">
        <v>34</v>
      </c>
      <c r="C130" s="123" t="s">
        <v>150</v>
      </c>
      <c r="D130" s="121" t="s">
        <v>22</v>
      </c>
      <c r="E130" s="17" t="s">
        <v>58</v>
      </c>
      <c r="F130" s="62">
        <f t="shared" ref="F130" si="44">SUM(F131:F134)</f>
        <v>0</v>
      </c>
      <c r="G130" s="62">
        <f t="shared" ref="G130:M130" si="45">SUM(G131:G134)</f>
        <v>0</v>
      </c>
      <c r="H130" s="62">
        <f t="shared" ref="H130" si="46">SUM(H131:H134)</f>
        <v>0</v>
      </c>
      <c r="I130" s="62">
        <f t="shared" si="45"/>
        <v>0</v>
      </c>
      <c r="J130" s="62">
        <f t="shared" si="45"/>
        <v>0</v>
      </c>
      <c r="K130" s="62">
        <f t="shared" si="45"/>
        <v>0</v>
      </c>
      <c r="L130" s="62">
        <f t="shared" si="45"/>
        <v>0</v>
      </c>
      <c r="M130" s="62">
        <f t="shared" si="45"/>
        <v>0</v>
      </c>
    </row>
    <row r="131" spans="1:13" outlineLevel="7">
      <c r="A131" s="8"/>
      <c r="B131" s="120"/>
      <c r="C131" s="124"/>
      <c r="D131" s="101"/>
      <c r="E131" s="23"/>
      <c r="F131" s="67"/>
      <c r="G131" s="66"/>
      <c r="H131" s="67"/>
      <c r="I131" s="67"/>
      <c r="J131" s="67"/>
      <c r="K131" s="67"/>
      <c r="L131" s="67"/>
      <c r="M131" s="67"/>
    </row>
    <row r="132" spans="1:13" outlineLevel="7">
      <c r="A132" s="8"/>
      <c r="B132" s="120"/>
      <c r="C132" s="124"/>
      <c r="D132" s="101"/>
      <c r="E132" s="23"/>
      <c r="F132" s="67"/>
      <c r="G132" s="66"/>
      <c r="H132" s="67"/>
      <c r="I132" s="67"/>
      <c r="J132" s="67"/>
      <c r="K132" s="67"/>
      <c r="L132" s="67"/>
      <c r="M132" s="67"/>
    </row>
    <row r="133" spans="1:13" outlineLevel="7">
      <c r="A133" s="8"/>
      <c r="B133" s="120"/>
      <c r="C133" s="124"/>
      <c r="D133" s="101"/>
      <c r="E133" s="23"/>
      <c r="F133" s="67"/>
      <c r="G133" s="66"/>
      <c r="H133" s="67"/>
      <c r="I133" s="67"/>
      <c r="J133" s="67"/>
      <c r="K133" s="67"/>
      <c r="L133" s="67"/>
      <c r="M133" s="67"/>
    </row>
    <row r="134" spans="1:13" outlineLevel="7">
      <c r="A134" s="8"/>
      <c r="B134" s="120"/>
      <c r="C134" s="124"/>
      <c r="D134" s="101"/>
      <c r="E134" s="23"/>
      <c r="F134" s="67"/>
      <c r="G134" s="66"/>
      <c r="H134" s="67"/>
      <c r="I134" s="67"/>
      <c r="J134" s="67"/>
      <c r="K134" s="67"/>
      <c r="L134" s="67"/>
      <c r="M134" s="67"/>
    </row>
    <row r="135" spans="1:13" outlineLevel="7">
      <c r="A135" s="7" t="s">
        <v>68</v>
      </c>
      <c r="B135" s="17" t="s">
        <v>36</v>
      </c>
      <c r="C135" s="21" t="s">
        <v>147</v>
      </c>
      <c r="D135" s="17" t="s">
        <v>22</v>
      </c>
      <c r="E135" s="17" t="s">
        <v>58</v>
      </c>
      <c r="F135" s="62">
        <f t="shared" ref="F135:M135" si="47">SUM(F136:F141)</f>
        <v>18000</v>
      </c>
      <c r="G135" s="62">
        <f t="shared" si="47"/>
        <v>18000</v>
      </c>
      <c r="H135" s="62">
        <f t="shared" si="47"/>
        <v>50000</v>
      </c>
      <c r="I135" s="62">
        <f t="shared" si="47"/>
        <v>42000</v>
      </c>
      <c r="J135" s="62">
        <f t="shared" si="47"/>
        <v>42000</v>
      </c>
      <c r="K135" s="62">
        <f t="shared" si="47"/>
        <v>0</v>
      </c>
      <c r="L135" s="62">
        <f t="shared" si="47"/>
        <v>0</v>
      </c>
      <c r="M135" s="62">
        <f t="shared" si="47"/>
        <v>0</v>
      </c>
    </row>
    <row r="136" spans="1:13" outlineLevel="7">
      <c r="A136" s="84" t="s">
        <v>81</v>
      </c>
      <c r="B136" s="85"/>
      <c r="C136" s="86"/>
      <c r="D136" s="85"/>
      <c r="E136" s="85"/>
      <c r="F136" s="74">
        <v>18000</v>
      </c>
      <c r="G136" s="95">
        <v>18000</v>
      </c>
      <c r="H136" s="74">
        <v>35000</v>
      </c>
      <c r="I136" s="74">
        <v>35000</v>
      </c>
      <c r="J136" s="74">
        <v>35000</v>
      </c>
      <c r="K136" s="74"/>
      <c r="L136" s="74"/>
      <c r="M136" s="74"/>
    </row>
    <row r="137" spans="1:13" outlineLevel="7">
      <c r="A137" s="84" t="s">
        <v>183</v>
      </c>
      <c r="B137" s="85"/>
      <c r="C137" s="86"/>
      <c r="D137" s="85"/>
      <c r="E137" s="85"/>
      <c r="F137" s="74"/>
      <c r="G137" s="95"/>
      <c r="H137" s="74"/>
      <c r="I137" s="74"/>
      <c r="J137" s="74"/>
      <c r="K137" s="74"/>
      <c r="L137" s="74"/>
      <c r="M137" s="74"/>
    </row>
    <row r="138" spans="1:13" outlineLevel="7">
      <c r="A138" s="84" t="s">
        <v>191</v>
      </c>
      <c r="B138" s="85"/>
      <c r="C138" s="86"/>
      <c r="D138" s="85"/>
      <c r="E138" s="85"/>
      <c r="F138" s="74"/>
      <c r="G138" s="95"/>
      <c r="H138" s="74">
        <v>5000</v>
      </c>
      <c r="I138" s="74">
        <v>5000</v>
      </c>
      <c r="J138" s="74">
        <v>5000</v>
      </c>
      <c r="K138" s="74"/>
      <c r="L138" s="74"/>
      <c r="M138" s="74"/>
    </row>
    <row r="139" spans="1:13" outlineLevel="7">
      <c r="A139" s="45" t="s">
        <v>198</v>
      </c>
      <c r="B139" s="42"/>
      <c r="C139" s="43"/>
      <c r="D139" s="44"/>
      <c r="E139" s="41"/>
      <c r="F139" s="74"/>
      <c r="G139" s="95"/>
      <c r="H139" s="74">
        <v>2000</v>
      </c>
      <c r="I139" s="74">
        <v>2000</v>
      </c>
      <c r="J139" s="74">
        <v>2000</v>
      </c>
      <c r="K139" s="74"/>
      <c r="L139" s="74"/>
      <c r="M139" s="74"/>
    </row>
    <row r="140" spans="1:13" outlineLevel="7">
      <c r="A140" s="45" t="s">
        <v>192</v>
      </c>
      <c r="B140" s="42"/>
      <c r="C140" s="43"/>
      <c r="D140" s="44"/>
      <c r="E140" s="41"/>
      <c r="F140" s="74"/>
      <c r="G140" s="95"/>
      <c r="H140" s="74">
        <v>8000</v>
      </c>
      <c r="I140" s="74"/>
      <c r="J140" s="74"/>
      <c r="K140" s="74"/>
      <c r="L140" s="74"/>
      <c r="M140" s="74"/>
    </row>
    <row r="141" spans="1:13" outlineLevel="7">
      <c r="A141" s="8" t="s">
        <v>146</v>
      </c>
      <c r="B141" s="120"/>
      <c r="C141" s="124"/>
      <c r="D141" s="101"/>
      <c r="E141" s="23"/>
      <c r="F141" s="67"/>
      <c r="G141" s="66"/>
      <c r="H141" s="67"/>
      <c r="I141" s="67"/>
      <c r="J141" s="67"/>
      <c r="K141" s="67"/>
      <c r="L141" s="67"/>
      <c r="M141" s="67"/>
    </row>
    <row r="142" spans="1:13" outlineLevel="7">
      <c r="A142" s="8"/>
      <c r="B142" s="120"/>
      <c r="C142" s="124"/>
      <c r="D142" s="101"/>
      <c r="E142" s="23"/>
      <c r="F142" s="67"/>
      <c r="G142" s="66"/>
      <c r="H142" s="67"/>
      <c r="I142" s="67"/>
      <c r="J142" s="67"/>
      <c r="K142" s="67"/>
      <c r="L142" s="67"/>
      <c r="M142" s="67"/>
    </row>
    <row r="143" spans="1:13" ht="25.5" outlineLevel="7">
      <c r="A143" s="220" t="s">
        <v>269</v>
      </c>
      <c r="B143" s="119" t="s">
        <v>36</v>
      </c>
      <c r="C143" s="21" t="s">
        <v>270</v>
      </c>
      <c r="D143" s="17" t="s">
        <v>22</v>
      </c>
      <c r="E143" s="17"/>
      <c r="F143" s="72">
        <f>F144</f>
        <v>150000</v>
      </c>
      <c r="G143" s="72">
        <f t="shared" ref="G143:M143" si="48">G144</f>
        <v>150000</v>
      </c>
      <c r="H143" s="72">
        <f t="shared" si="48"/>
        <v>0</v>
      </c>
      <c r="I143" s="72">
        <f t="shared" si="48"/>
        <v>0</v>
      </c>
      <c r="J143" s="72">
        <f t="shared" si="48"/>
        <v>0</v>
      </c>
      <c r="K143" s="72">
        <f t="shared" si="48"/>
        <v>0</v>
      </c>
      <c r="L143" s="72">
        <f t="shared" si="48"/>
        <v>0</v>
      </c>
      <c r="M143" s="72">
        <f t="shared" si="48"/>
        <v>0</v>
      </c>
    </row>
    <row r="144" spans="1:13" outlineLevel="7">
      <c r="A144" s="198"/>
      <c r="B144" s="221" t="s">
        <v>36</v>
      </c>
      <c r="C144" s="31" t="s">
        <v>270</v>
      </c>
      <c r="D144" s="23" t="s">
        <v>22</v>
      </c>
      <c r="E144" s="23" t="s">
        <v>46</v>
      </c>
      <c r="F144" s="67">
        <v>150000</v>
      </c>
      <c r="G144" s="66">
        <v>150000</v>
      </c>
      <c r="H144" s="67"/>
      <c r="I144" s="67"/>
      <c r="J144" s="67"/>
      <c r="K144" s="67"/>
      <c r="L144" s="67"/>
      <c r="M144" s="67"/>
    </row>
    <row r="145" spans="1:13" outlineLevel="7">
      <c r="A145" s="198"/>
      <c r="B145" s="221"/>
      <c r="C145" s="31"/>
      <c r="D145" s="23"/>
      <c r="E145" s="23"/>
      <c r="F145" s="67"/>
      <c r="G145" s="66"/>
      <c r="H145" s="67"/>
      <c r="I145" s="67"/>
      <c r="J145" s="67"/>
      <c r="K145" s="67"/>
      <c r="L145" s="67"/>
      <c r="M145" s="67"/>
    </row>
    <row r="146" spans="1:13" outlineLevel="7">
      <c r="A146" s="7" t="s">
        <v>152</v>
      </c>
      <c r="B146" s="17" t="s">
        <v>36</v>
      </c>
      <c r="C146" s="40" t="s">
        <v>151</v>
      </c>
      <c r="D146" s="17"/>
      <c r="E146" s="17"/>
      <c r="F146" s="62">
        <f>F147+F155</f>
        <v>706701.27</v>
      </c>
      <c r="G146" s="62">
        <f t="shared" ref="G146:M146" si="49">G147+G155</f>
        <v>593863.74</v>
      </c>
      <c r="H146" s="62">
        <f t="shared" si="49"/>
        <v>1066081</v>
      </c>
      <c r="I146" s="62">
        <f t="shared" si="49"/>
        <v>468581</v>
      </c>
      <c r="J146" s="62">
        <f t="shared" si="49"/>
        <v>391581</v>
      </c>
      <c r="K146" s="62">
        <f t="shared" si="49"/>
        <v>0</v>
      </c>
      <c r="L146" s="62">
        <f t="shared" si="49"/>
        <v>0</v>
      </c>
      <c r="M146" s="62">
        <f t="shared" si="49"/>
        <v>0</v>
      </c>
    </row>
    <row r="147" spans="1:13" outlineLevel="7">
      <c r="A147" s="8"/>
      <c r="B147" s="35" t="s">
        <v>36</v>
      </c>
      <c r="C147" s="114" t="s">
        <v>151</v>
      </c>
      <c r="D147" s="35" t="s">
        <v>22</v>
      </c>
      <c r="E147" s="35" t="s">
        <v>58</v>
      </c>
      <c r="F147" s="196">
        <f>SUM(F148:F154)</f>
        <v>504520.27</v>
      </c>
      <c r="G147" s="196">
        <f t="shared" ref="G147:M147" si="50">SUM(G148:G154)</f>
        <v>503538.8</v>
      </c>
      <c r="H147" s="196">
        <f t="shared" si="50"/>
        <v>774500</v>
      </c>
      <c r="I147" s="196">
        <f t="shared" si="50"/>
        <v>177000</v>
      </c>
      <c r="J147" s="196">
        <f t="shared" si="50"/>
        <v>100000</v>
      </c>
      <c r="K147" s="196">
        <f t="shared" si="50"/>
        <v>0</v>
      </c>
      <c r="L147" s="196">
        <f t="shared" si="50"/>
        <v>0</v>
      </c>
      <c r="M147" s="196">
        <f t="shared" si="50"/>
        <v>0</v>
      </c>
    </row>
    <row r="148" spans="1:13" ht="25.5" outlineLevel="7">
      <c r="A148" s="8" t="s">
        <v>272</v>
      </c>
      <c r="B148" s="23"/>
      <c r="C148" s="24"/>
      <c r="D148" s="23"/>
      <c r="E148" s="23"/>
      <c r="F148" s="67">
        <f>14000-8049.2</f>
        <v>5950.8</v>
      </c>
      <c r="G148" s="66">
        <v>5950.8</v>
      </c>
      <c r="H148" s="67">
        <v>14000</v>
      </c>
      <c r="I148" s="67">
        <v>7000</v>
      </c>
      <c r="J148" s="67"/>
      <c r="K148" s="67"/>
      <c r="L148" s="67"/>
      <c r="M148" s="67"/>
    </row>
    <row r="149" spans="1:13" outlineLevel="7">
      <c r="A149" s="8" t="s">
        <v>271</v>
      </c>
      <c r="B149" s="23"/>
      <c r="C149" s="24"/>
      <c r="D149" s="23"/>
      <c r="E149" s="23"/>
      <c r="F149" s="66">
        <v>386624</v>
      </c>
      <c r="G149" s="66">
        <v>386624</v>
      </c>
      <c r="H149" s="67"/>
      <c r="I149" s="67"/>
      <c r="J149" s="67"/>
      <c r="K149" s="67"/>
      <c r="L149" s="67"/>
      <c r="M149" s="67"/>
    </row>
    <row r="150" spans="1:13" outlineLevel="7">
      <c r="A150" s="8" t="s">
        <v>273</v>
      </c>
      <c r="B150" s="23"/>
      <c r="C150" s="24"/>
      <c r="D150" s="23"/>
      <c r="E150" s="23"/>
      <c r="F150" s="66">
        <v>110964</v>
      </c>
      <c r="G150" s="66">
        <v>110964</v>
      </c>
      <c r="H150" s="67"/>
      <c r="I150" s="67"/>
      <c r="J150" s="67"/>
      <c r="K150" s="67"/>
      <c r="L150" s="67"/>
      <c r="M150" s="67"/>
    </row>
    <row r="151" spans="1:13" outlineLevel="7">
      <c r="A151" s="8" t="s">
        <v>252</v>
      </c>
      <c r="B151" s="23"/>
      <c r="C151" s="24"/>
      <c r="D151" s="23"/>
      <c r="E151" s="23"/>
      <c r="F151" s="67"/>
      <c r="G151" s="66"/>
      <c r="H151" s="67">
        <v>350000</v>
      </c>
      <c r="I151" s="67">
        <v>100000</v>
      </c>
      <c r="J151" s="67"/>
      <c r="K151" s="67"/>
      <c r="L151" s="67"/>
      <c r="M151" s="67"/>
    </row>
    <row r="152" spans="1:13" outlineLevel="7">
      <c r="A152" s="8" t="s">
        <v>193</v>
      </c>
      <c r="B152" s="23"/>
      <c r="C152" s="24"/>
      <c r="D152" s="23"/>
      <c r="E152" s="23"/>
      <c r="F152" s="67">
        <f>40000-39018.53</f>
        <v>981.47000000000116</v>
      </c>
      <c r="G152" s="66"/>
      <c r="H152" s="67">
        <v>40000</v>
      </c>
      <c r="I152" s="67">
        <v>50000</v>
      </c>
      <c r="J152" s="67">
        <v>100000</v>
      </c>
      <c r="K152" s="67"/>
      <c r="L152" s="67"/>
      <c r="M152" s="67"/>
    </row>
    <row r="153" spans="1:13" ht="25.5" outlineLevel="7">
      <c r="A153" s="8" t="s">
        <v>246</v>
      </c>
      <c r="B153" s="23"/>
      <c r="C153" s="122"/>
      <c r="D153" s="23"/>
      <c r="E153" s="23"/>
      <c r="F153" s="67">
        <f>101729.76-101729.76</f>
        <v>0</v>
      </c>
      <c r="G153" s="66"/>
      <c r="H153" s="67">
        <v>370500</v>
      </c>
      <c r="I153" s="67">
        <v>20000</v>
      </c>
      <c r="J153" s="67"/>
      <c r="K153" s="67"/>
      <c r="L153" s="67"/>
      <c r="M153" s="67"/>
    </row>
    <row r="154" spans="1:13" outlineLevel="7">
      <c r="A154" s="8" t="s">
        <v>37</v>
      </c>
      <c r="B154" s="23"/>
      <c r="C154" s="122"/>
      <c r="D154" s="23"/>
      <c r="E154" s="23"/>
      <c r="F154" s="67"/>
      <c r="G154" s="66"/>
      <c r="H154" s="67"/>
      <c r="I154" s="67"/>
      <c r="J154" s="67"/>
      <c r="K154" s="67"/>
      <c r="L154" s="67"/>
      <c r="M154" s="67"/>
    </row>
    <row r="155" spans="1:13" outlineLevel="7">
      <c r="A155" s="5" t="s">
        <v>257</v>
      </c>
      <c r="B155" s="35" t="s">
        <v>36</v>
      </c>
      <c r="C155" s="114" t="s">
        <v>151</v>
      </c>
      <c r="D155" s="35" t="s">
        <v>243</v>
      </c>
      <c r="E155" s="35" t="s">
        <v>58</v>
      </c>
      <c r="F155" s="196">
        <v>202181</v>
      </c>
      <c r="G155" s="73">
        <v>90324.94</v>
      </c>
      <c r="H155" s="204">
        <v>291581</v>
      </c>
      <c r="I155" s="204">
        <v>291581</v>
      </c>
      <c r="J155" s="204">
        <v>291581</v>
      </c>
      <c r="K155" s="196"/>
      <c r="L155" s="196"/>
      <c r="M155" s="196"/>
    </row>
    <row r="156" spans="1:13" outlineLevel="7">
      <c r="A156" s="7" t="s">
        <v>153</v>
      </c>
      <c r="B156" s="17" t="s">
        <v>36</v>
      </c>
      <c r="C156" s="40" t="s">
        <v>158</v>
      </c>
      <c r="D156" s="17" t="s">
        <v>22</v>
      </c>
      <c r="E156" s="17" t="s">
        <v>58</v>
      </c>
      <c r="F156" s="72">
        <f t="shared" ref="F156" si="51">SUM(F157:F160)</f>
        <v>3000</v>
      </c>
      <c r="G156" s="72">
        <f t="shared" ref="G156:M156" si="52">SUM(G157:G160)</f>
        <v>3000</v>
      </c>
      <c r="H156" s="72">
        <f t="shared" ref="H156" si="53">SUM(H157:H160)</f>
        <v>4000</v>
      </c>
      <c r="I156" s="72">
        <f t="shared" si="52"/>
        <v>4000</v>
      </c>
      <c r="J156" s="72">
        <f t="shared" si="52"/>
        <v>4000</v>
      </c>
      <c r="K156" s="72">
        <f t="shared" si="52"/>
        <v>0</v>
      </c>
      <c r="L156" s="72">
        <f t="shared" si="52"/>
        <v>0</v>
      </c>
      <c r="M156" s="72">
        <f t="shared" si="52"/>
        <v>0</v>
      </c>
    </row>
    <row r="157" spans="1:13" outlineLevel="7">
      <c r="A157" s="8" t="s">
        <v>154</v>
      </c>
      <c r="B157" s="120"/>
      <c r="C157" s="124"/>
      <c r="D157" s="101"/>
      <c r="E157" s="23"/>
      <c r="F157" s="67"/>
      <c r="G157" s="66"/>
      <c r="H157" s="67"/>
      <c r="I157" s="67"/>
      <c r="J157" s="67"/>
      <c r="K157" s="67"/>
      <c r="L157" s="67"/>
      <c r="M157" s="67"/>
    </row>
    <row r="158" spans="1:13" outlineLevel="7">
      <c r="A158" s="8" t="s">
        <v>155</v>
      </c>
      <c r="B158" s="120"/>
      <c r="C158" s="124"/>
      <c r="D158" s="101"/>
      <c r="E158" s="23"/>
      <c r="F158" s="67"/>
      <c r="G158" s="66"/>
      <c r="H158" s="67"/>
      <c r="I158" s="67"/>
      <c r="J158" s="67"/>
      <c r="K158" s="67"/>
      <c r="L158" s="67"/>
      <c r="M158" s="67"/>
    </row>
    <row r="159" spans="1:13" outlineLevel="7">
      <c r="A159" s="8"/>
      <c r="B159" s="120"/>
      <c r="C159" s="124"/>
      <c r="D159" s="101"/>
      <c r="E159" s="23"/>
      <c r="F159" s="67"/>
      <c r="G159" s="66"/>
      <c r="H159" s="67"/>
      <c r="I159" s="67"/>
      <c r="J159" s="67"/>
      <c r="K159" s="67"/>
      <c r="L159" s="67"/>
      <c r="M159" s="67"/>
    </row>
    <row r="160" spans="1:13" outlineLevel="7">
      <c r="A160" s="8" t="s">
        <v>156</v>
      </c>
      <c r="B160" s="120"/>
      <c r="C160" s="124"/>
      <c r="D160" s="101"/>
      <c r="E160" s="23"/>
      <c r="F160" s="67">
        <v>3000</v>
      </c>
      <c r="G160" s="66">
        <v>3000</v>
      </c>
      <c r="H160" s="67">
        <v>4000</v>
      </c>
      <c r="I160" s="67">
        <v>4000</v>
      </c>
      <c r="J160" s="67">
        <v>4000</v>
      </c>
      <c r="K160" s="67"/>
      <c r="L160" s="67"/>
      <c r="M160" s="67"/>
    </row>
    <row r="161" spans="1:13" outlineLevel="7">
      <c r="A161" s="7" t="s">
        <v>67</v>
      </c>
      <c r="B161" s="17" t="s">
        <v>36</v>
      </c>
      <c r="C161" s="40" t="s">
        <v>157</v>
      </c>
      <c r="D161" s="17" t="s">
        <v>22</v>
      </c>
      <c r="E161" s="17" t="s">
        <v>58</v>
      </c>
      <c r="F161" s="62">
        <f>SUM(F162:F172)</f>
        <v>325588.51999999996</v>
      </c>
      <c r="G161" s="62">
        <f>SUM(G162:G172)</f>
        <v>118173.6</v>
      </c>
      <c r="H161" s="62">
        <f t="shared" ref="H161:M161" si="54">SUM(H162:H172)</f>
        <v>539048.44999999995</v>
      </c>
      <c r="I161" s="62">
        <f t="shared" si="54"/>
        <v>552652</v>
      </c>
      <c r="J161" s="62">
        <f t="shared" si="54"/>
        <v>430652</v>
      </c>
      <c r="K161" s="62">
        <f t="shared" si="54"/>
        <v>0</v>
      </c>
      <c r="L161" s="62">
        <f t="shared" si="54"/>
        <v>0</v>
      </c>
      <c r="M161" s="62">
        <f t="shared" si="54"/>
        <v>0</v>
      </c>
    </row>
    <row r="162" spans="1:13" outlineLevel="7">
      <c r="A162" s="8" t="s">
        <v>194</v>
      </c>
      <c r="B162" s="23"/>
      <c r="C162" s="176"/>
      <c r="D162" s="23"/>
      <c r="E162" s="23"/>
      <c r="F162" s="184">
        <f>39394+60000</f>
        <v>99394</v>
      </c>
      <c r="G162" s="66"/>
      <c r="H162" s="184">
        <v>150000</v>
      </c>
      <c r="I162" s="184">
        <v>150000</v>
      </c>
      <c r="J162" s="184">
        <v>150000</v>
      </c>
      <c r="K162" s="184"/>
      <c r="L162" s="66"/>
      <c r="M162" s="66"/>
    </row>
    <row r="163" spans="1:13" outlineLevel="7">
      <c r="A163" s="8" t="s">
        <v>279</v>
      </c>
      <c r="B163" s="23"/>
      <c r="C163" s="176"/>
      <c r="D163" s="23"/>
      <c r="E163" s="23"/>
      <c r="F163" s="184">
        <f>15252+8204</f>
        <v>23456</v>
      </c>
      <c r="G163" s="66"/>
      <c r="H163" s="184"/>
      <c r="I163" s="184"/>
      <c r="J163" s="184"/>
      <c r="K163" s="184"/>
      <c r="L163" s="66"/>
      <c r="M163" s="66"/>
    </row>
    <row r="164" spans="1:13" outlineLevel="7">
      <c r="A164" s="8" t="s">
        <v>274</v>
      </c>
      <c r="B164" s="23"/>
      <c r="C164" s="176"/>
      <c r="D164" s="23"/>
      <c r="E164" s="23"/>
      <c r="F164" s="66">
        <f>16080+15000</f>
        <v>31080</v>
      </c>
      <c r="G164" s="66">
        <f>16080+15000</f>
        <v>31080</v>
      </c>
      <c r="H164" s="184"/>
      <c r="I164" s="184"/>
      <c r="J164" s="184"/>
      <c r="K164" s="184"/>
      <c r="L164" s="66"/>
      <c r="M164" s="66"/>
    </row>
    <row r="165" spans="1:13" ht="25.5" outlineLevel="7">
      <c r="A165" s="8" t="s">
        <v>278</v>
      </c>
      <c r="B165" s="23"/>
      <c r="C165" s="176"/>
      <c r="D165" s="23"/>
      <c r="E165" s="23"/>
      <c r="F165" s="66">
        <v>73722</v>
      </c>
      <c r="G165" s="66"/>
      <c r="H165" s="184"/>
      <c r="I165" s="184"/>
      <c r="J165" s="184"/>
      <c r="K165" s="184"/>
      <c r="L165" s="66"/>
      <c r="M165" s="66"/>
    </row>
    <row r="166" spans="1:13" outlineLevel="7">
      <c r="A166" s="9" t="s">
        <v>253</v>
      </c>
      <c r="B166" s="25"/>
      <c r="C166" s="26"/>
      <c r="D166" s="25"/>
      <c r="E166" s="25"/>
      <c r="F166" s="67"/>
      <c r="G166" s="66"/>
      <c r="H166" s="67">
        <v>49140</v>
      </c>
      <c r="I166" s="67">
        <v>49140</v>
      </c>
      <c r="J166" s="67">
        <v>49140</v>
      </c>
      <c r="K166" s="67"/>
      <c r="L166" s="67"/>
      <c r="M166" s="67"/>
    </row>
    <row r="167" spans="1:13" ht="25.5" outlineLevel="7">
      <c r="A167" s="9" t="s">
        <v>275</v>
      </c>
      <c r="B167" s="23"/>
      <c r="C167" s="24"/>
      <c r="D167" s="23"/>
      <c r="E167" s="23"/>
      <c r="F167" s="66">
        <v>21237.599999999999</v>
      </c>
      <c r="G167" s="66">
        <v>21237.599999999999</v>
      </c>
      <c r="H167" s="203">
        <v>86396.45</v>
      </c>
      <c r="I167" s="203">
        <v>100000</v>
      </c>
      <c r="J167" s="67"/>
      <c r="K167" s="67"/>
      <c r="L167" s="67"/>
      <c r="M167" s="67"/>
    </row>
    <row r="168" spans="1:13" ht="16.5" customHeight="1" outlineLevel="7">
      <c r="A168" s="8" t="s">
        <v>254</v>
      </c>
      <c r="B168" s="23"/>
      <c r="C168" s="24"/>
      <c r="D168" s="23"/>
      <c r="E168" s="23"/>
      <c r="F168" s="66">
        <v>57786</v>
      </c>
      <c r="G168" s="66">
        <v>57786</v>
      </c>
      <c r="H168" s="67">
        <v>91512</v>
      </c>
      <c r="I168" s="67">
        <v>91512</v>
      </c>
      <c r="J168" s="67">
        <v>91512</v>
      </c>
      <c r="K168" s="67"/>
      <c r="L168" s="67"/>
      <c r="M168" s="67"/>
    </row>
    <row r="169" spans="1:13" outlineLevel="7">
      <c r="A169" s="8" t="s">
        <v>277</v>
      </c>
      <c r="B169" s="23"/>
      <c r="C169" s="24"/>
      <c r="D169" s="23"/>
      <c r="E169" s="23"/>
      <c r="F169" s="67">
        <f>5857.31+4985.61</f>
        <v>10842.92</v>
      </c>
      <c r="G169" s="66"/>
      <c r="H169" s="67">
        <v>70000</v>
      </c>
      <c r="I169" s="67">
        <v>70000</v>
      </c>
      <c r="J169" s="67">
        <v>70000</v>
      </c>
      <c r="K169" s="67"/>
      <c r="L169" s="67"/>
      <c r="M169" s="67"/>
    </row>
    <row r="170" spans="1:13" outlineLevel="7">
      <c r="A170" s="8" t="s">
        <v>255</v>
      </c>
      <c r="B170" s="23"/>
      <c r="C170" s="24"/>
      <c r="D170" s="23"/>
      <c r="E170" s="23"/>
      <c r="F170" s="67"/>
      <c r="G170" s="66"/>
      <c r="H170" s="67">
        <v>20000</v>
      </c>
      <c r="I170" s="67">
        <v>20000</v>
      </c>
      <c r="J170" s="67"/>
      <c r="K170" s="67"/>
      <c r="L170" s="67"/>
      <c r="M170" s="67"/>
    </row>
    <row r="171" spans="1:13" outlineLevel="7">
      <c r="A171" s="8" t="s">
        <v>256</v>
      </c>
      <c r="B171" s="23"/>
      <c r="C171" s="24"/>
      <c r="D171" s="23"/>
      <c r="E171" s="23"/>
      <c r="F171" s="67"/>
      <c r="G171" s="66"/>
      <c r="H171" s="67">
        <v>70000</v>
      </c>
      <c r="I171" s="67">
        <v>70000</v>
      </c>
      <c r="J171" s="67">
        <v>70000</v>
      </c>
      <c r="K171" s="67"/>
      <c r="L171" s="67"/>
      <c r="M171" s="67"/>
    </row>
    <row r="172" spans="1:13" outlineLevel="4">
      <c r="A172" s="8" t="s">
        <v>276</v>
      </c>
      <c r="B172" s="23"/>
      <c r="C172" s="24"/>
      <c r="D172" s="23"/>
      <c r="E172" s="23"/>
      <c r="F172" s="66">
        <f>8070</f>
        <v>8070</v>
      </c>
      <c r="G172" s="66">
        <f>8070</f>
        <v>8070</v>
      </c>
      <c r="H172" s="75">
        <v>2000</v>
      </c>
      <c r="I172" s="75">
        <v>2000</v>
      </c>
      <c r="J172" s="75"/>
      <c r="K172" s="75"/>
      <c r="L172" s="75"/>
      <c r="M172" s="75"/>
    </row>
    <row r="173" spans="1:13" ht="25.5" outlineLevel="4">
      <c r="A173" s="139" t="s">
        <v>217</v>
      </c>
      <c r="B173" s="190" t="s">
        <v>36</v>
      </c>
      <c r="C173" s="191" t="s">
        <v>218</v>
      </c>
      <c r="D173" s="192" t="s">
        <v>22</v>
      </c>
      <c r="E173" s="147"/>
      <c r="F173" s="72">
        <f t="shared" ref="F173" si="55">SUM(F174:F176)</f>
        <v>0</v>
      </c>
      <c r="G173" s="72">
        <f t="shared" ref="G173:M173" si="56">SUM(G174:G176)</f>
        <v>0</v>
      </c>
      <c r="H173" s="72">
        <f t="shared" ref="H173" si="57">SUM(H174:H176)</f>
        <v>0</v>
      </c>
      <c r="I173" s="72">
        <f t="shared" si="56"/>
        <v>0</v>
      </c>
      <c r="J173" s="72">
        <f t="shared" si="56"/>
        <v>0</v>
      </c>
      <c r="K173" s="72">
        <f t="shared" si="56"/>
        <v>0</v>
      </c>
      <c r="L173" s="72">
        <f t="shared" si="56"/>
        <v>0</v>
      </c>
      <c r="M173" s="72">
        <f t="shared" si="56"/>
        <v>0</v>
      </c>
    </row>
    <row r="174" spans="1:13" outlineLevel="4">
      <c r="A174" s="9" t="s">
        <v>219</v>
      </c>
      <c r="B174" s="185" t="s">
        <v>36</v>
      </c>
      <c r="C174" s="187" t="s">
        <v>218</v>
      </c>
      <c r="D174" s="186" t="s">
        <v>22</v>
      </c>
      <c r="E174" s="25" t="s">
        <v>176</v>
      </c>
      <c r="F174" s="75">
        <v>0</v>
      </c>
      <c r="G174" s="66"/>
      <c r="H174" s="75"/>
      <c r="I174" s="75"/>
      <c r="J174" s="75"/>
      <c r="K174" s="75"/>
      <c r="L174" s="75"/>
      <c r="M174" s="75"/>
    </row>
    <row r="175" spans="1:13" outlineLevel="4">
      <c r="A175" s="9" t="s">
        <v>220</v>
      </c>
      <c r="B175" s="185" t="s">
        <v>36</v>
      </c>
      <c r="C175" s="187" t="s">
        <v>218</v>
      </c>
      <c r="D175" s="186" t="s">
        <v>22</v>
      </c>
      <c r="E175" s="25" t="s">
        <v>82</v>
      </c>
      <c r="F175" s="75">
        <v>0</v>
      </c>
      <c r="G175" s="66"/>
      <c r="H175" s="75"/>
      <c r="I175" s="75"/>
      <c r="J175" s="75"/>
      <c r="K175" s="75"/>
      <c r="L175" s="75"/>
      <c r="M175" s="75"/>
    </row>
    <row r="176" spans="1:13" outlineLevel="4">
      <c r="A176" s="8"/>
      <c r="B176" s="120"/>
      <c r="C176" s="124"/>
      <c r="D176" s="101"/>
      <c r="E176" s="23"/>
      <c r="F176" s="75"/>
      <c r="G176" s="66"/>
      <c r="H176" s="75"/>
      <c r="I176" s="75"/>
      <c r="J176" s="75"/>
      <c r="K176" s="75"/>
      <c r="L176" s="75"/>
      <c r="M176" s="75"/>
    </row>
    <row r="177" spans="1:13" outlineLevel="7">
      <c r="A177" s="7" t="s">
        <v>69</v>
      </c>
      <c r="B177" s="17" t="s">
        <v>36</v>
      </c>
      <c r="C177" s="40" t="s">
        <v>159</v>
      </c>
      <c r="D177" s="17" t="s">
        <v>22</v>
      </c>
      <c r="E177" s="17" t="s">
        <v>58</v>
      </c>
      <c r="F177" s="62">
        <f t="shared" ref="F177:M177" si="58">SUM(F178)</f>
        <v>0</v>
      </c>
      <c r="G177" s="62">
        <f t="shared" si="58"/>
        <v>0</v>
      </c>
      <c r="H177" s="62">
        <f t="shared" si="58"/>
        <v>0</v>
      </c>
      <c r="I177" s="62">
        <f t="shared" si="58"/>
        <v>0</v>
      </c>
      <c r="J177" s="62">
        <f t="shared" si="58"/>
        <v>0</v>
      </c>
      <c r="K177" s="62">
        <f t="shared" si="58"/>
        <v>0</v>
      </c>
      <c r="L177" s="62">
        <f t="shared" si="58"/>
        <v>0</v>
      </c>
      <c r="M177" s="62">
        <f t="shared" si="58"/>
        <v>0</v>
      </c>
    </row>
    <row r="178" spans="1:13" ht="25.5" outlineLevel="7">
      <c r="A178" s="8" t="s">
        <v>38</v>
      </c>
      <c r="B178" s="23"/>
      <c r="C178" s="46"/>
      <c r="D178" s="23"/>
      <c r="E178" s="23"/>
      <c r="F178" s="67"/>
      <c r="G178" s="66"/>
      <c r="H178" s="67"/>
      <c r="I178" s="67"/>
      <c r="J178" s="67"/>
      <c r="K178" s="67"/>
      <c r="L178" s="67"/>
      <c r="M178" s="67"/>
    </row>
    <row r="179" spans="1:13" ht="33.75" customHeight="1" outlineLevel="7">
      <c r="A179" s="128" t="s">
        <v>225</v>
      </c>
      <c r="B179" s="17"/>
      <c r="C179" s="40" t="s">
        <v>184</v>
      </c>
      <c r="D179" s="121"/>
      <c r="E179" s="17"/>
      <c r="F179" s="62">
        <f>F180+F185+F190+F195</f>
        <v>1535360</v>
      </c>
      <c r="G179" s="62">
        <f t="shared" ref="G179:M179" si="59">G180+G185+G190+G195</f>
        <v>0</v>
      </c>
      <c r="H179" s="62">
        <f t="shared" si="59"/>
        <v>302355</v>
      </c>
      <c r="I179" s="62">
        <f t="shared" si="59"/>
        <v>887165</v>
      </c>
      <c r="J179" s="62">
        <f t="shared" si="59"/>
        <v>366613</v>
      </c>
      <c r="K179" s="62">
        <f t="shared" si="59"/>
        <v>0</v>
      </c>
      <c r="L179" s="62">
        <f t="shared" si="59"/>
        <v>0</v>
      </c>
      <c r="M179" s="62">
        <f t="shared" si="59"/>
        <v>0</v>
      </c>
    </row>
    <row r="180" spans="1:13" outlineLevel="7">
      <c r="A180" s="199" t="s">
        <v>221</v>
      </c>
      <c r="B180" s="185"/>
      <c r="C180" s="187"/>
      <c r="D180" s="186"/>
      <c r="E180" s="25"/>
      <c r="F180" s="67">
        <f t="shared" ref="F180" si="60">SUM(F181:F184)</f>
        <v>1535360</v>
      </c>
      <c r="G180" s="66"/>
      <c r="H180" s="67">
        <f t="shared" ref="H180" si="61">SUM(H181:H184)</f>
        <v>0</v>
      </c>
      <c r="I180" s="67">
        <f t="shared" ref="I180:M180" si="62">SUM(I181:I184)</f>
        <v>0</v>
      </c>
      <c r="J180" s="67">
        <f t="shared" si="62"/>
        <v>0</v>
      </c>
      <c r="K180" s="67">
        <f t="shared" si="62"/>
        <v>0</v>
      </c>
      <c r="L180" s="67">
        <f t="shared" si="62"/>
        <v>0</v>
      </c>
      <c r="M180" s="67">
        <f t="shared" si="62"/>
        <v>0</v>
      </c>
    </row>
    <row r="181" spans="1:13" outlineLevel="7">
      <c r="A181" s="9" t="s">
        <v>171</v>
      </c>
      <c r="B181" s="142" t="s">
        <v>36</v>
      </c>
      <c r="C181" s="193" t="s">
        <v>247</v>
      </c>
      <c r="D181" s="140" t="s">
        <v>22</v>
      </c>
      <c r="E181" s="25" t="s">
        <v>176</v>
      </c>
      <c r="F181" s="67">
        <v>1169097</v>
      </c>
      <c r="G181" s="66"/>
      <c r="H181" s="67"/>
      <c r="I181" s="67"/>
      <c r="J181" s="67"/>
      <c r="K181" s="67"/>
      <c r="L181" s="67"/>
      <c r="M181" s="67"/>
    </row>
    <row r="182" spans="1:13" outlineLevel="7">
      <c r="A182" s="9" t="s">
        <v>185</v>
      </c>
      <c r="B182" s="142" t="s">
        <v>36</v>
      </c>
      <c r="C182" s="193" t="s">
        <v>247</v>
      </c>
      <c r="D182" s="140" t="s">
        <v>22</v>
      </c>
      <c r="E182" s="25" t="s">
        <v>82</v>
      </c>
      <c r="F182" s="67">
        <v>366263</v>
      </c>
      <c r="G182" s="66"/>
      <c r="H182" s="67"/>
      <c r="I182" s="67"/>
      <c r="J182" s="67"/>
      <c r="K182" s="67"/>
      <c r="L182" s="67"/>
      <c r="M182" s="67"/>
    </row>
    <row r="183" spans="1:13" outlineLevel="7">
      <c r="A183" s="9" t="s">
        <v>173</v>
      </c>
      <c r="B183" s="142" t="s">
        <v>36</v>
      </c>
      <c r="C183" s="193" t="s">
        <v>247</v>
      </c>
      <c r="D183" s="140" t="s">
        <v>22</v>
      </c>
      <c r="E183" s="25" t="s">
        <v>46</v>
      </c>
      <c r="F183" s="67"/>
      <c r="G183" s="66"/>
      <c r="H183" s="67"/>
      <c r="I183" s="67"/>
      <c r="J183" s="67"/>
      <c r="K183" s="67"/>
      <c r="L183" s="67"/>
      <c r="M183" s="67"/>
    </row>
    <row r="184" spans="1:13" outlineLevel="7">
      <c r="A184" s="194" t="s">
        <v>174</v>
      </c>
      <c r="B184" s="142" t="s">
        <v>36</v>
      </c>
      <c r="C184" s="193" t="s">
        <v>247</v>
      </c>
      <c r="D184" s="140" t="s">
        <v>22</v>
      </c>
      <c r="E184" s="25" t="s">
        <v>82</v>
      </c>
      <c r="F184" s="67"/>
      <c r="G184" s="66"/>
      <c r="H184" s="67"/>
      <c r="I184" s="67"/>
      <c r="J184" s="67"/>
      <c r="K184" s="67"/>
      <c r="L184" s="67"/>
      <c r="M184" s="67"/>
    </row>
    <row r="185" spans="1:13" ht="25.5" outlineLevel="7">
      <c r="A185" s="199" t="s">
        <v>251</v>
      </c>
      <c r="B185" s="185"/>
      <c r="C185" s="187"/>
      <c r="D185" s="186"/>
      <c r="E185" s="25"/>
      <c r="F185" s="67">
        <f t="shared" ref="F185" si="63">SUM(F186:F189)</f>
        <v>0</v>
      </c>
      <c r="G185" s="66"/>
      <c r="H185" s="67">
        <f t="shared" ref="H185" si="64">SUM(H186:H189)</f>
        <v>302355</v>
      </c>
      <c r="I185" s="67">
        <f t="shared" ref="I185:M185" si="65">SUM(I186:I189)</f>
        <v>0</v>
      </c>
      <c r="J185" s="67">
        <f t="shared" si="65"/>
        <v>0</v>
      </c>
      <c r="K185" s="67">
        <f t="shared" si="65"/>
        <v>0</v>
      </c>
      <c r="L185" s="67">
        <f t="shared" si="65"/>
        <v>0</v>
      </c>
      <c r="M185" s="67">
        <f t="shared" si="65"/>
        <v>0</v>
      </c>
    </row>
    <row r="186" spans="1:13" outlineLevel="7">
      <c r="A186" s="9" t="s">
        <v>171</v>
      </c>
      <c r="B186" s="142" t="s">
        <v>31</v>
      </c>
      <c r="C186" s="193" t="s">
        <v>247</v>
      </c>
      <c r="D186" s="140" t="s">
        <v>22</v>
      </c>
      <c r="E186" s="25" t="s">
        <v>176</v>
      </c>
      <c r="F186" s="67"/>
      <c r="G186" s="66"/>
      <c r="H186" s="67"/>
      <c r="I186" s="67"/>
      <c r="J186" s="67"/>
      <c r="K186" s="67"/>
      <c r="L186" s="67"/>
      <c r="M186" s="67"/>
    </row>
    <row r="187" spans="1:13" outlineLevel="7">
      <c r="A187" s="9" t="s">
        <v>185</v>
      </c>
      <c r="B187" s="142" t="s">
        <v>31</v>
      </c>
      <c r="C187" s="193" t="s">
        <v>247</v>
      </c>
      <c r="D187" s="140" t="s">
        <v>22</v>
      </c>
      <c r="E187" s="25" t="s">
        <v>82</v>
      </c>
      <c r="F187" s="67"/>
      <c r="G187" s="66"/>
      <c r="H187" s="67">
        <v>277355</v>
      </c>
      <c r="I187" s="67"/>
      <c r="J187" s="67"/>
      <c r="K187" s="67"/>
      <c r="L187" s="67"/>
      <c r="M187" s="67"/>
    </row>
    <row r="188" spans="1:13" outlineLevel="7">
      <c r="A188" s="9" t="s">
        <v>173</v>
      </c>
      <c r="B188" s="142" t="s">
        <v>31</v>
      </c>
      <c r="C188" s="193" t="s">
        <v>247</v>
      </c>
      <c r="D188" s="140" t="s">
        <v>22</v>
      </c>
      <c r="E188" s="25" t="s">
        <v>46</v>
      </c>
      <c r="F188" s="67"/>
      <c r="G188" s="66"/>
      <c r="H188" s="67"/>
      <c r="I188" s="67"/>
      <c r="J188" s="67"/>
      <c r="K188" s="67"/>
      <c r="L188" s="67"/>
      <c r="M188" s="67"/>
    </row>
    <row r="189" spans="1:13" outlineLevel="7">
      <c r="A189" s="194" t="s">
        <v>174</v>
      </c>
      <c r="B189" s="142" t="s">
        <v>31</v>
      </c>
      <c r="C189" s="193" t="s">
        <v>247</v>
      </c>
      <c r="D189" s="140" t="s">
        <v>22</v>
      </c>
      <c r="E189" s="25" t="s">
        <v>82</v>
      </c>
      <c r="F189" s="67"/>
      <c r="G189" s="66"/>
      <c r="H189" s="203">
        <v>25000</v>
      </c>
      <c r="I189" s="67"/>
      <c r="J189" s="67"/>
      <c r="K189" s="67"/>
      <c r="L189" s="67"/>
      <c r="M189" s="67"/>
    </row>
    <row r="190" spans="1:13" outlineLevel="7">
      <c r="A190" s="199" t="s">
        <v>250</v>
      </c>
      <c r="B190" s="185"/>
      <c r="C190" s="187"/>
      <c r="D190" s="186"/>
      <c r="E190" s="25"/>
      <c r="F190" s="67">
        <f t="shared" ref="F190" si="66">SUM(F191:F194)</f>
        <v>0</v>
      </c>
      <c r="G190" s="66"/>
      <c r="H190" s="67">
        <f t="shared" ref="H190" si="67">SUM(H191:H194)</f>
        <v>0</v>
      </c>
      <c r="I190" s="67">
        <f t="shared" ref="I190:M190" si="68">SUM(I191:I194)</f>
        <v>887165</v>
      </c>
      <c r="J190" s="67">
        <f t="shared" si="68"/>
        <v>0</v>
      </c>
      <c r="K190" s="67">
        <f t="shared" si="68"/>
        <v>0</v>
      </c>
      <c r="L190" s="67">
        <f t="shared" si="68"/>
        <v>0</v>
      </c>
      <c r="M190" s="67">
        <f t="shared" si="68"/>
        <v>0</v>
      </c>
    </row>
    <row r="191" spans="1:13" outlineLevel="7">
      <c r="A191" s="9" t="s">
        <v>171</v>
      </c>
      <c r="B191" s="142" t="s">
        <v>31</v>
      </c>
      <c r="C191" s="193" t="s">
        <v>247</v>
      </c>
      <c r="D191" s="140" t="s">
        <v>22</v>
      </c>
      <c r="E191" s="25" t="s">
        <v>176</v>
      </c>
      <c r="F191" s="67"/>
      <c r="G191" s="66"/>
      <c r="H191" s="67"/>
      <c r="I191" s="203"/>
      <c r="J191" s="67"/>
      <c r="K191" s="67"/>
      <c r="L191" s="67"/>
      <c r="M191" s="67"/>
    </row>
    <row r="192" spans="1:13" outlineLevel="7">
      <c r="A192" s="9" t="s">
        <v>185</v>
      </c>
      <c r="B192" s="142" t="s">
        <v>31</v>
      </c>
      <c r="C192" s="193" t="s">
        <v>247</v>
      </c>
      <c r="D192" s="140" t="s">
        <v>22</v>
      </c>
      <c r="E192" s="25" t="s">
        <v>82</v>
      </c>
      <c r="F192" s="67"/>
      <c r="G192" s="66"/>
      <c r="H192" s="67"/>
      <c r="I192" s="67">
        <v>857165</v>
      </c>
      <c r="J192" s="67"/>
      <c r="K192" s="67"/>
      <c r="L192" s="67"/>
      <c r="M192" s="67"/>
    </row>
    <row r="193" spans="1:13" outlineLevel="7">
      <c r="A193" s="9" t="s">
        <v>173</v>
      </c>
      <c r="B193" s="142" t="s">
        <v>31</v>
      </c>
      <c r="C193" s="193" t="s">
        <v>247</v>
      </c>
      <c r="D193" s="140" t="s">
        <v>22</v>
      </c>
      <c r="E193" s="25" t="s">
        <v>46</v>
      </c>
      <c r="F193" s="67"/>
      <c r="G193" s="66"/>
      <c r="H193" s="67"/>
      <c r="I193" s="67"/>
      <c r="J193" s="67"/>
      <c r="K193" s="67"/>
      <c r="L193" s="67"/>
      <c r="M193" s="67"/>
    </row>
    <row r="194" spans="1:13" outlineLevel="7">
      <c r="A194" s="194" t="s">
        <v>174</v>
      </c>
      <c r="B194" s="142" t="s">
        <v>31</v>
      </c>
      <c r="C194" s="193" t="s">
        <v>247</v>
      </c>
      <c r="D194" s="140" t="s">
        <v>22</v>
      </c>
      <c r="E194" s="25" t="s">
        <v>82</v>
      </c>
      <c r="F194" s="67"/>
      <c r="G194" s="66"/>
      <c r="H194" s="67"/>
      <c r="I194" s="203">
        <v>30000</v>
      </c>
      <c r="J194" s="67"/>
      <c r="K194" s="67"/>
      <c r="L194" s="67"/>
      <c r="M194" s="67"/>
    </row>
    <row r="195" spans="1:13" outlineLevel="7">
      <c r="A195" s="199" t="s">
        <v>249</v>
      </c>
      <c r="B195" s="185"/>
      <c r="C195" s="187"/>
      <c r="D195" s="186"/>
      <c r="E195" s="25"/>
      <c r="F195" s="67">
        <f t="shared" ref="F195" si="69">SUM(F196:F199)</f>
        <v>0</v>
      </c>
      <c r="G195" s="66"/>
      <c r="H195" s="67">
        <f t="shared" ref="H195" si="70">SUM(H196:H199)</f>
        <v>0</v>
      </c>
      <c r="I195" s="67">
        <f t="shared" ref="I195:M195" si="71">SUM(I196:I199)</f>
        <v>0</v>
      </c>
      <c r="J195" s="67">
        <f t="shared" si="71"/>
        <v>366613</v>
      </c>
      <c r="K195" s="67">
        <f t="shared" si="71"/>
        <v>0</v>
      </c>
      <c r="L195" s="67">
        <f t="shared" si="71"/>
        <v>0</v>
      </c>
      <c r="M195" s="67">
        <f t="shared" si="71"/>
        <v>0</v>
      </c>
    </row>
    <row r="196" spans="1:13" outlineLevel="7">
      <c r="A196" s="9" t="s">
        <v>171</v>
      </c>
      <c r="B196" s="142" t="s">
        <v>31</v>
      </c>
      <c r="C196" s="193" t="s">
        <v>247</v>
      </c>
      <c r="D196" s="140" t="s">
        <v>22</v>
      </c>
      <c r="E196" s="25" t="s">
        <v>176</v>
      </c>
      <c r="F196" s="67"/>
      <c r="G196" s="66"/>
      <c r="H196" s="67"/>
      <c r="I196" s="67"/>
      <c r="J196" s="203"/>
      <c r="K196" s="67"/>
      <c r="L196" s="67"/>
      <c r="M196" s="67"/>
    </row>
    <row r="197" spans="1:13" outlineLevel="7">
      <c r="A197" s="9" t="s">
        <v>185</v>
      </c>
      <c r="B197" s="142" t="s">
        <v>31</v>
      </c>
      <c r="C197" s="193" t="s">
        <v>247</v>
      </c>
      <c r="D197" s="140" t="s">
        <v>22</v>
      </c>
      <c r="E197" s="25" t="s">
        <v>82</v>
      </c>
      <c r="F197" s="67"/>
      <c r="G197" s="66"/>
      <c r="H197" s="67"/>
      <c r="I197" s="67"/>
      <c r="J197" s="67">
        <v>351613</v>
      </c>
      <c r="K197" s="67"/>
      <c r="L197" s="67"/>
      <c r="M197" s="67"/>
    </row>
    <row r="198" spans="1:13" outlineLevel="7">
      <c r="A198" s="9" t="s">
        <v>173</v>
      </c>
      <c r="B198" s="142" t="s">
        <v>31</v>
      </c>
      <c r="C198" s="193" t="s">
        <v>247</v>
      </c>
      <c r="D198" s="140" t="s">
        <v>22</v>
      </c>
      <c r="E198" s="25" t="s">
        <v>46</v>
      </c>
      <c r="F198" s="67"/>
      <c r="G198" s="66"/>
      <c r="H198" s="67"/>
      <c r="I198" s="67"/>
      <c r="J198" s="67"/>
      <c r="K198" s="67"/>
      <c r="L198" s="67"/>
      <c r="M198" s="67"/>
    </row>
    <row r="199" spans="1:13" outlineLevel="7">
      <c r="A199" s="194" t="s">
        <v>174</v>
      </c>
      <c r="B199" s="142" t="s">
        <v>31</v>
      </c>
      <c r="C199" s="193" t="s">
        <v>247</v>
      </c>
      <c r="D199" s="140" t="s">
        <v>22</v>
      </c>
      <c r="E199" s="25" t="s">
        <v>82</v>
      </c>
      <c r="F199" s="67"/>
      <c r="G199" s="66"/>
      <c r="H199" s="67"/>
      <c r="I199" s="67"/>
      <c r="J199" s="203">
        <v>15000</v>
      </c>
      <c r="K199" s="67"/>
      <c r="L199" s="67"/>
      <c r="M199" s="67"/>
    </row>
    <row r="200" spans="1:13" ht="31.5" outlineLevel="7">
      <c r="A200" s="128" t="s">
        <v>175</v>
      </c>
      <c r="B200" s="169" t="s">
        <v>36</v>
      </c>
      <c r="C200" s="40"/>
      <c r="D200" s="169" t="s">
        <v>22</v>
      </c>
      <c r="E200" s="170"/>
      <c r="F200" s="171">
        <f>F201+F206+F211</f>
        <v>783131.47</v>
      </c>
      <c r="G200" s="171">
        <f t="shared" ref="G200:M200" si="72">G201+G206+G211</f>
        <v>0</v>
      </c>
      <c r="H200" s="171">
        <f t="shared" si="72"/>
        <v>77778</v>
      </c>
      <c r="I200" s="171">
        <f t="shared" si="72"/>
        <v>77778</v>
      </c>
      <c r="J200" s="171">
        <f t="shared" si="72"/>
        <v>77778</v>
      </c>
      <c r="K200" s="171">
        <f t="shared" si="72"/>
        <v>0</v>
      </c>
      <c r="L200" s="171">
        <f t="shared" si="72"/>
        <v>0</v>
      </c>
      <c r="M200" s="171">
        <f t="shared" si="72"/>
        <v>0</v>
      </c>
    </row>
    <row r="201" spans="1:13" ht="18.75" customHeight="1" outlineLevel="7">
      <c r="A201" s="206" t="s">
        <v>258</v>
      </c>
      <c r="B201" s="164"/>
      <c r="C201" s="165"/>
      <c r="D201" s="166"/>
      <c r="E201" s="167"/>
      <c r="F201" s="168">
        <f t="shared" ref="F201" si="73">SUM(F202:F205)</f>
        <v>783131.47</v>
      </c>
      <c r="G201" s="168">
        <f t="shared" ref="G201:M201" si="74">SUM(G202:G205)</f>
        <v>0</v>
      </c>
      <c r="H201" s="168">
        <f t="shared" ref="H201" si="75">SUM(H202:H205)</f>
        <v>77778</v>
      </c>
      <c r="I201" s="168">
        <f t="shared" si="74"/>
        <v>0</v>
      </c>
      <c r="J201" s="168">
        <f t="shared" si="74"/>
        <v>0</v>
      </c>
      <c r="K201" s="168">
        <f t="shared" si="74"/>
        <v>0</v>
      </c>
      <c r="L201" s="168">
        <f t="shared" si="74"/>
        <v>0</v>
      </c>
      <c r="M201" s="168">
        <f t="shared" si="74"/>
        <v>0</v>
      </c>
    </row>
    <row r="202" spans="1:13" outlineLevel="7">
      <c r="A202" s="8" t="s">
        <v>171</v>
      </c>
      <c r="B202" s="35" t="s">
        <v>36</v>
      </c>
      <c r="C202" s="88" t="s">
        <v>222</v>
      </c>
      <c r="D202" s="125" t="s">
        <v>22</v>
      </c>
      <c r="E202" s="23" t="s">
        <v>176</v>
      </c>
      <c r="F202" s="67">
        <v>700000</v>
      </c>
      <c r="G202" s="66"/>
      <c r="H202" s="67"/>
      <c r="I202" s="67"/>
      <c r="J202" s="67"/>
      <c r="K202" s="67"/>
      <c r="L202" s="67"/>
      <c r="M202" s="67"/>
    </row>
    <row r="203" spans="1:13" outlineLevel="7">
      <c r="A203" s="8" t="s">
        <v>172</v>
      </c>
      <c r="B203" s="35" t="s">
        <v>36</v>
      </c>
      <c r="C203" s="88" t="s">
        <v>222</v>
      </c>
      <c r="D203" s="125" t="s">
        <v>22</v>
      </c>
      <c r="E203" s="23" t="s">
        <v>82</v>
      </c>
      <c r="F203" s="67">
        <v>43874.28</v>
      </c>
      <c r="G203" s="66"/>
      <c r="H203" s="67">
        <v>38889</v>
      </c>
      <c r="I203" s="67"/>
      <c r="J203" s="67"/>
      <c r="K203" s="67"/>
      <c r="L203" s="67"/>
      <c r="M203" s="67"/>
    </row>
    <row r="204" spans="1:13" outlineLevel="7">
      <c r="A204" s="8" t="s">
        <v>173</v>
      </c>
      <c r="B204" s="35" t="s">
        <v>36</v>
      </c>
      <c r="C204" s="88" t="s">
        <v>222</v>
      </c>
      <c r="D204" s="125" t="s">
        <v>22</v>
      </c>
      <c r="E204" s="23" t="s">
        <v>46</v>
      </c>
      <c r="F204" s="67"/>
      <c r="G204" s="66"/>
      <c r="H204" s="67"/>
      <c r="I204" s="67"/>
      <c r="J204" s="67"/>
      <c r="K204" s="67"/>
      <c r="L204" s="67"/>
      <c r="M204" s="67"/>
    </row>
    <row r="205" spans="1:13" outlineLevel="7">
      <c r="A205" s="8" t="s">
        <v>174</v>
      </c>
      <c r="B205" s="35" t="s">
        <v>36</v>
      </c>
      <c r="C205" s="88" t="s">
        <v>222</v>
      </c>
      <c r="D205" s="125" t="s">
        <v>22</v>
      </c>
      <c r="E205" s="23" t="s">
        <v>82</v>
      </c>
      <c r="F205" s="67">
        <v>39257.19</v>
      </c>
      <c r="G205" s="66"/>
      <c r="H205" s="67">
        <v>38889</v>
      </c>
      <c r="I205" s="67"/>
      <c r="J205" s="67"/>
      <c r="K205" s="67"/>
      <c r="L205" s="67"/>
      <c r="M205" s="67"/>
    </row>
    <row r="206" spans="1:13" ht="27.75" customHeight="1" outlineLevel="7">
      <c r="A206" s="205" t="s">
        <v>259</v>
      </c>
      <c r="B206" s="120"/>
      <c r="C206" s="46"/>
      <c r="D206" s="101"/>
      <c r="E206" s="23"/>
      <c r="F206" s="67">
        <f t="shared" ref="F206" si="76">SUM(F207:F210)</f>
        <v>0</v>
      </c>
      <c r="G206" s="67">
        <f t="shared" ref="G206:M206" si="77">SUM(G207:G210)</f>
        <v>0</v>
      </c>
      <c r="H206" s="67">
        <f t="shared" ref="H206" si="78">SUM(H207:H210)</f>
        <v>0</v>
      </c>
      <c r="I206" s="67">
        <f t="shared" si="77"/>
        <v>77778</v>
      </c>
      <c r="J206" s="67">
        <f t="shared" si="77"/>
        <v>0</v>
      </c>
      <c r="K206" s="67">
        <f t="shared" si="77"/>
        <v>0</v>
      </c>
      <c r="L206" s="67">
        <f t="shared" si="77"/>
        <v>0</v>
      </c>
      <c r="M206" s="67">
        <f t="shared" si="77"/>
        <v>0</v>
      </c>
    </row>
    <row r="207" spans="1:13" outlineLevel="7">
      <c r="A207" s="8" t="s">
        <v>171</v>
      </c>
      <c r="B207" s="35" t="s">
        <v>36</v>
      </c>
      <c r="C207" s="88" t="s">
        <v>223</v>
      </c>
      <c r="D207" s="125" t="s">
        <v>22</v>
      </c>
      <c r="E207" s="23" t="s">
        <v>176</v>
      </c>
      <c r="F207" s="67"/>
      <c r="G207" s="66"/>
      <c r="H207" s="67"/>
      <c r="I207" s="67"/>
      <c r="J207" s="67"/>
      <c r="K207" s="67"/>
      <c r="L207" s="67"/>
      <c r="M207" s="67"/>
    </row>
    <row r="208" spans="1:13" outlineLevel="7">
      <c r="A208" s="8" t="s">
        <v>172</v>
      </c>
      <c r="B208" s="35" t="s">
        <v>36</v>
      </c>
      <c r="C208" s="88" t="s">
        <v>223</v>
      </c>
      <c r="D208" s="125" t="s">
        <v>22</v>
      </c>
      <c r="E208" s="23" t="s">
        <v>82</v>
      </c>
      <c r="F208" s="67"/>
      <c r="G208" s="66"/>
      <c r="H208" s="67"/>
      <c r="I208" s="67">
        <v>38889</v>
      </c>
      <c r="J208" s="67"/>
      <c r="K208" s="67"/>
      <c r="L208" s="67"/>
      <c r="M208" s="67"/>
    </row>
    <row r="209" spans="1:13" outlineLevel="7">
      <c r="A209" s="8" t="s">
        <v>173</v>
      </c>
      <c r="B209" s="35" t="s">
        <v>36</v>
      </c>
      <c r="C209" s="88" t="s">
        <v>223</v>
      </c>
      <c r="D209" s="125" t="s">
        <v>22</v>
      </c>
      <c r="E209" s="23" t="s">
        <v>46</v>
      </c>
      <c r="F209" s="67"/>
      <c r="G209" s="66"/>
      <c r="H209" s="67"/>
      <c r="I209" s="67"/>
      <c r="J209" s="67"/>
      <c r="K209" s="67"/>
      <c r="L209" s="67"/>
      <c r="M209" s="67"/>
    </row>
    <row r="210" spans="1:13" outlineLevel="7">
      <c r="A210" s="8" t="s">
        <v>174</v>
      </c>
      <c r="B210" s="35" t="s">
        <v>36</v>
      </c>
      <c r="C210" s="88" t="s">
        <v>223</v>
      </c>
      <c r="D210" s="125" t="s">
        <v>22</v>
      </c>
      <c r="E210" s="23" t="s">
        <v>82</v>
      </c>
      <c r="F210" s="67"/>
      <c r="G210" s="66"/>
      <c r="H210" s="67"/>
      <c r="I210" s="67">
        <v>38889</v>
      </c>
      <c r="J210" s="67"/>
      <c r="K210" s="67"/>
      <c r="L210" s="67"/>
      <c r="M210" s="67"/>
    </row>
    <row r="211" spans="1:13" outlineLevel="7">
      <c r="A211" s="206" t="s">
        <v>260</v>
      </c>
      <c r="B211" s="164"/>
      <c r="C211" s="165"/>
      <c r="D211" s="166"/>
      <c r="E211" s="167"/>
      <c r="F211" s="168">
        <f t="shared" ref="F211" si="79">SUM(F212:F215)</f>
        <v>0</v>
      </c>
      <c r="G211" s="168">
        <f t="shared" ref="G211:M211" si="80">SUM(G212:G215)</f>
        <v>0</v>
      </c>
      <c r="H211" s="168">
        <f t="shared" ref="H211" si="81">SUM(H212:H215)</f>
        <v>0</v>
      </c>
      <c r="I211" s="168">
        <f t="shared" si="80"/>
        <v>0</v>
      </c>
      <c r="J211" s="168">
        <f t="shared" si="80"/>
        <v>77778</v>
      </c>
      <c r="K211" s="168">
        <f t="shared" si="80"/>
        <v>0</v>
      </c>
      <c r="L211" s="168">
        <f t="shared" si="80"/>
        <v>0</v>
      </c>
      <c r="M211" s="168">
        <f t="shared" si="80"/>
        <v>0</v>
      </c>
    </row>
    <row r="212" spans="1:13" outlineLevel="7">
      <c r="A212" s="8" t="s">
        <v>171</v>
      </c>
      <c r="B212" s="35" t="s">
        <v>36</v>
      </c>
      <c r="C212" s="88" t="s">
        <v>224</v>
      </c>
      <c r="D212" s="125" t="s">
        <v>22</v>
      </c>
      <c r="E212" s="23" t="s">
        <v>176</v>
      </c>
      <c r="F212" s="67"/>
      <c r="G212" s="66"/>
      <c r="H212" s="67"/>
      <c r="I212" s="67"/>
      <c r="J212" s="67"/>
      <c r="K212" s="67"/>
      <c r="L212" s="67"/>
      <c r="M212" s="67"/>
    </row>
    <row r="213" spans="1:13" outlineLevel="7">
      <c r="A213" s="8" t="s">
        <v>172</v>
      </c>
      <c r="B213" s="35" t="s">
        <v>36</v>
      </c>
      <c r="C213" s="88" t="s">
        <v>224</v>
      </c>
      <c r="D213" s="125" t="s">
        <v>22</v>
      </c>
      <c r="E213" s="23" t="s">
        <v>82</v>
      </c>
      <c r="F213" s="67"/>
      <c r="G213" s="66"/>
      <c r="H213" s="67"/>
      <c r="I213" s="67"/>
      <c r="J213" s="67">
        <v>38889</v>
      </c>
      <c r="K213" s="67"/>
      <c r="L213" s="67"/>
      <c r="M213" s="67"/>
    </row>
    <row r="214" spans="1:13" outlineLevel="7">
      <c r="A214" s="8" t="s">
        <v>173</v>
      </c>
      <c r="B214" s="35" t="s">
        <v>36</v>
      </c>
      <c r="C214" s="88" t="s">
        <v>224</v>
      </c>
      <c r="D214" s="125" t="s">
        <v>22</v>
      </c>
      <c r="E214" s="23" t="s">
        <v>46</v>
      </c>
      <c r="F214" s="67"/>
      <c r="G214" s="66"/>
      <c r="H214" s="67"/>
      <c r="I214" s="67"/>
      <c r="J214" s="67"/>
      <c r="K214" s="67"/>
      <c r="L214" s="67"/>
      <c r="M214" s="67"/>
    </row>
    <row r="215" spans="1:13" outlineLevel="7">
      <c r="A215" s="8" t="s">
        <v>174</v>
      </c>
      <c r="B215" s="35" t="s">
        <v>36</v>
      </c>
      <c r="C215" s="88" t="s">
        <v>224</v>
      </c>
      <c r="D215" s="125" t="s">
        <v>22</v>
      </c>
      <c r="E215" s="23" t="s">
        <v>82</v>
      </c>
      <c r="F215" s="67"/>
      <c r="G215" s="66"/>
      <c r="H215" s="67"/>
      <c r="I215" s="67"/>
      <c r="J215" s="67">
        <v>38889</v>
      </c>
      <c r="K215" s="67"/>
      <c r="L215" s="67"/>
      <c r="M215" s="67"/>
    </row>
    <row r="216" spans="1:13" ht="25.5" customHeight="1" outlineLevel="7">
      <c r="A216" s="152" t="s">
        <v>168</v>
      </c>
      <c r="B216" s="153"/>
      <c r="C216" s="154"/>
      <c r="D216" s="153"/>
      <c r="E216" s="153"/>
      <c r="F216" s="155">
        <f>F217</f>
        <v>27452</v>
      </c>
      <c r="G216" s="155">
        <f t="shared" ref="G216:M216" si="82">G217</f>
        <v>21667</v>
      </c>
      <c r="H216" s="155">
        <f t="shared" si="82"/>
        <v>0</v>
      </c>
      <c r="I216" s="155">
        <f t="shared" si="82"/>
        <v>0</v>
      </c>
      <c r="J216" s="155">
        <f t="shared" si="82"/>
        <v>0</v>
      </c>
      <c r="K216" s="155">
        <f t="shared" si="82"/>
        <v>0</v>
      </c>
      <c r="L216" s="155">
        <f t="shared" si="82"/>
        <v>0</v>
      </c>
      <c r="M216" s="155">
        <f t="shared" si="82"/>
        <v>0</v>
      </c>
    </row>
    <row r="217" spans="1:13">
      <c r="A217" s="149" t="s">
        <v>48</v>
      </c>
      <c r="B217" s="150"/>
      <c r="C217" s="151"/>
      <c r="D217" s="150"/>
      <c r="E217" s="150"/>
      <c r="F217" s="76">
        <f t="shared" ref="F217:M217" si="83">F218</f>
        <v>27452</v>
      </c>
      <c r="G217" s="76">
        <f t="shared" si="83"/>
        <v>21667</v>
      </c>
      <c r="H217" s="76">
        <f t="shared" si="83"/>
        <v>0</v>
      </c>
      <c r="I217" s="76">
        <f t="shared" si="83"/>
        <v>0</v>
      </c>
      <c r="J217" s="76">
        <f t="shared" si="83"/>
        <v>0</v>
      </c>
      <c r="K217" s="76">
        <f t="shared" si="83"/>
        <v>0</v>
      </c>
      <c r="L217" s="76">
        <f t="shared" si="83"/>
        <v>0</v>
      </c>
      <c r="M217" s="76">
        <f t="shared" si="83"/>
        <v>0</v>
      </c>
    </row>
    <row r="218" spans="1:13" ht="25.5">
      <c r="A218" s="7" t="s">
        <v>49</v>
      </c>
      <c r="B218" s="17" t="s">
        <v>50</v>
      </c>
      <c r="C218" s="18"/>
      <c r="D218" s="17"/>
      <c r="E218" s="17"/>
      <c r="F218" s="62">
        <f t="shared" ref="F218" si="84">F219+F220+F221+F224</f>
        <v>27452</v>
      </c>
      <c r="G218" s="62">
        <f t="shared" ref="G218:M218" si="85">G219+G220+G221+G224</f>
        <v>21667</v>
      </c>
      <c r="H218" s="62">
        <f t="shared" ref="H218" si="86">H219+H220+H221+H224</f>
        <v>0</v>
      </c>
      <c r="I218" s="62">
        <f t="shared" si="85"/>
        <v>0</v>
      </c>
      <c r="J218" s="62">
        <f t="shared" si="85"/>
        <v>0</v>
      </c>
      <c r="K218" s="62">
        <f t="shared" si="85"/>
        <v>0</v>
      </c>
      <c r="L218" s="62">
        <f t="shared" si="85"/>
        <v>0</v>
      </c>
      <c r="M218" s="62">
        <f t="shared" si="85"/>
        <v>0</v>
      </c>
    </row>
    <row r="219" spans="1:13">
      <c r="A219" s="4" t="s">
        <v>51</v>
      </c>
      <c r="B219" s="19" t="s">
        <v>50</v>
      </c>
      <c r="C219" s="47" t="s">
        <v>65</v>
      </c>
      <c r="D219" s="19" t="s">
        <v>18</v>
      </c>
      <c r="E219" s="19" t="s">
        <v>52</v>
      </c>
      <c r="F219" s="64">
        <v>21084</v>
      </c>
      <c r="G219" s="65">
        <v>16643.919999999998</v>
      </c>
      <c r="H219" s="64"/>
      <c r="I219" s="64"/>
      <c r="J219" s="64"/>
      <c r="K219" s="64"/>
      <c r="L219" s="64"/>
      <c r="M219" s="64"/>
    </row>
    <row r="220" spans="1:13">
      <c r="A220" s="4" t="s">
        <v>53</v>
      </c>
      <c r="B220" s="19" t="s">
        <v>50</v>
      </c>
      <c r="C220" s="47" t="s">
        <v>65</v>
      </c>
      <c r="D220" s="19" t="s">
        <v>59</v>
      </c>
      <c r="E220" s="19" t="s">
        <v>52</v>
      </c>
      <c r="F220" s="64">
        <v>6368</v>
      </c>
      <c r="G220" s="65">
        <v>5023.08</v>
      </c>
      <c r="H220" s="64"/>
      <c r="I220" s="64"/>
      <c r="J220" s="64"/>
      <c r="K220" s="64"/>
      <c r="L220" s="64"/>
      <c r="M220" s="64"/>
    </row>
    <row r="221" spans="1:13" ht="25.5">
      <c r="A221" s="4" t="s">
        <v>74</v>
      </c>
      <c r="B221" s="19" t="s">
        <v>50</v>
      </c>
      <c r="C221" s="47" t="s">
        <v>65</v>
      </c>
      <c r="D221" s="19" t="s">
        <v>21</v>
      </c>
      <c r="E221" s="19" t="s">
        <v>52</v>
      </c>
      <c r="F221" s="65">
        <f t="shared" ref="F221" si="87">SUM(F222:F223)</f>
        <v>0</v>
      </c>
      <c r="G221" s="65">
        <f t="shared" ref="G221:M221" si="88">SUM(G222:G223)</f>
        <v>0</v>
      </c>
      <c r="H221" s="65">
        <f t="shared" ref="H221" si="89">SUM(H222:H223)</f>
        <v>0</v>
      </c>
      <c r="I221" s="65">
        <f t="shared" si="88"/>
        <v>0</v>
      </c>
      <c r="J221" s="65">
        <f t="shared" si="88"/>
        <v>0</v>
      </c>
      <c r="K221" s="65">
        <f t="shared" si="88"/>
        <v>0</v>
      </c>
      <c r="L221" s="65">
        <f t="shared" si="88"/>
        <v>0</v>
      </c>
      <c r="M221" s="65">
        <f t="shared" si="88"/>
        <v>0</v>
      </c>
    </row>
    <row r="222" spans="1:13">
      <c r="A222" s="4" t="s">
        <v>169</v>
      </c>
      <c r="B222" s="19"/>
      <c r="C222" s="47"/>
      <c r="D222" s="19"/>
      <c r="E222" s="19"/>
      <c r="F222" s="64"/>
      <c r="G222" s="65"/>
      <c r="H222" s="64"/>
      <c r="I222" s="64"/>
      <c r="J222" s="64"/>
      <c r="K222" s="64"/>
      <c r="L222" s="64"/>
      <c r="M222" s="64"/>
    </row>
    <row r="223" spans="1:13">
      <c r="A223" s="4" t="s">
        <v>170</v>
      </c>
      <c r="B223" s="19"/>
      <c r="C223" s="47"/>
      <c r="D223" s="19"/>
      <c r="E223" s="19"/>
      <c r="F223" s="64"/>
      <c r="G223" s="65"/>
      <c r="H223" s="64"/>
      <c r="I223" s="64"/>
      <c r="J223" s="64"/>
      <c r="K223" s="64"/>
      <c r="L223" s="64"/>
      <c r="M223" s="64"/>
    </row>
    <row r="224" spans="1:13">
      <c r="A224" s="4" t="s">
        <v>87</v>
      </c>
      <c r="B224" s="19" t="s">
        <v>50</v>
      </c>
      <c r="C224" s="47" t="s">
        <v>65</v>
      </c>
      <c r="D224" s="19" t="s">
        <v>22</v>
      </c>
      <c r="E224" s="19" t="s">
        <v>52</v>
      </c>
      <c r="F224" s="65">
        <f t="shared" ref="F224" si="90">SUM(F225:F229)</f>
        <v>0</v>
      </c>
      <c r="G224" s="65">
        <f t="shared" ref="G224:M224" si="91">SUM(G225:G229)</f>
        <v>0</v>
      </c>
      <c r="H224" s="65">
        <f t="shared" ref="H224" si="92">SUM(H225:H229)</f>
        <v>0</v>
      </c>
      <c r="I224" s="65">
        <f t="shared" si="91"/>
        <v>0</v>
      </c>
      <c r="J224" s="65">
        <f t="shared" si="91"/>
        <v>0</v>
      </c>
      <c r="K224" s="65">
        <f t="shared" si="91"/>
        <v>0</v>
      </c>
      <c r="L224" s="65">
        <f t="shared" si="91"/>
        <v>0</v>
      </c>
      <c r="M224" s="65">
        <f t="shared" si="91"/>
        <v>0</v>
      </c>
    </row>
    <row r="225" spans="1:13">
      <c r="A225" s="4" t="s">
        <v>96</v>
      </c>
      <c r="B225" s="19"/>
      <c r="C225" s="47"/>
      <c r="D225" s="19"/>
      <c r="E225" s="19"/>
      <c r="F225" s="64"/>
      <c r="G225" s="65"/>
      <c r="H225" s="64"/>
      <c r="I225" s="64"/>
      <c r="J225" s="64"/>
      <c r="K225" s="64"/>
      <c r="L225" s="64"/>
      <c r="M225" s="64"/>
    </row>
    <row r="226" spans="1:13">
      <c r="A226" s="4" t="s">
        <v>54</v>
      </c>
      <c r="B226" s="19"/>
      <c r="C226" s="47"/>
      <c r="D226" s="19"/>
      <c r="E226" s="19"/>
      <c r="F226" s="64"/>
      <c r="G226" s="65"/>
      <c r="H226" s="64"/>
      <c r="I226" s="64"/>
      <c r="J226" s="64"/>
      <c r="K226" s="64"/>
      <c r="L226" s="64"/>
      <c r="M226" s="64"/>
    </row>
    <row r="227" spans="1:13">
      <c r="A227" s="4" t="s">
        <v>55</v>
      </c>
      <c r="B227" s="19"/>
      <c r="C227" s="47"/>
      <c r="D227" s="19"/>
      <c r="E227" s="19"/>
      <c r="F227" s="64"/>
      <c r="G227" s="65"/>
      <c r="H227" s="64"/>
      <c r="I227" s="64"/>
      <c r="J227" s="64"/>
      <c r="K227" s="64"/>
      <c r="L227" s="64"/>
      <c r="M227" s="64"/>
    </row>
    <row r="228" spans="1:13">
      <c r="A228" s="4" t="s">
        <v>56</v>
      </c>
      <c r="B228" s="19"/>
      <c r="C228" s="47"/>
      <c r="D228" s="19"/>
      <c r="E228" s="19"/>
      <c r="F228" s="64"/>
      <c r="G228" s="65"/>
      <c r="H228" s="64"/>
      <c r="I228" s="64"/>
      <c r="J228" s="64"/>
      <c r="K228" s="64"/>
      <c r="L228" s="64"/>
      <c r="M228" s="64"/>
    </row>
    <row r="229" spans="1:13">
      <c r="A229" s="4" t="s">
        <v>57</v>
      </c>
      <c r="B229" s="19"/>
      <c r="C229" s="47"/>
      <c r="D229" s="19"/>
      <c r="E229" s="19"/>
      <c r="F229" s="64"/>
      <c r="G229" s="65"/>
      <c r="H229" s="64"/>
      <c r="I229" s="64"/>
      <c r="J229" s="64"/>
      <c r="K229" s="64"/>
      <c r="L229" s="64"/>
      <c r="M229" s="64"/>
    </row>
    <row r="230" spans="1:13">
      <c r="F230" s="6"/>
      <c r="G230" s="6"/>
      <c r="H230" s="6"/>
      <c r="I230" s="6"/>
      <c r="J230" s="6"/>
      <c r="K230" s="6"/>
      <c r="L230" s="6"/>
      <c r="M230" s="6"/>
    </row>
    <row r="231" spans="1:13">
      <c r="F231" s="6"/>
      <c r="G231" s="6"/>
      <c r="H231" s="6"/>
      <c r="I231" s="6"/>
      <c r="J231" s="6"/>
      <c r="K231" s="6"/>
      <c r="L231" s="6"/>
      <c r="M231" s="6"/>
    </row>
    <row r="232" spans="1:13">
      <c r="A232" s="13" t="s">
        <v>195</v>
      </c>
      <c r="F232" s="6"/>
      <c r="G232" s="6"/>
      <c r="H232" s="6"/>
      <c r="I232" s="6"/>
      <c r="J232" s="6"/>
      <c r="K232" s="6"/>
      <c r="L232" s="6"/>
      <c r="M232" s="6"/>
    </row>
    <row r="233" spans="1:13">
      <c r="F233" s="6"/>
      <c r="G233" s="6"/>
      <c r="H233" s="6"/>
      <c r="I233" s="6"/>
      <c r="J233" s="6"/>
      <c r="K233" s="6"/>
      <c r="L233" s="6"/>
      <c r="M233" s="6"/>
    </row>
    <row r="234" spans="1:13">
      <c r="F234" s="6"/>
      <c r="G234" s="6"/>
      <c r="H234" s="6"/>
      <c r="I234" s="6"/>
      <c r="J234" s="6"/>
      <c r="K234" s="6"/>
      <c r="L234" s="6"/>
      <c r="M234" s="6"/>
    </row>
    <row r="235" spans="1:13">
      <c r="F235" s="6"/>
      <c r="G235" s="6"/>
      <c r="H235" s="6"/>
      <c r="I235" s="6"/>
      <c r="J235" s="6"/>
      <c r="K235" s="6"/>
      <c r="L235" s="6"/>
      <c r="M235" s="6"/>
    </row>
    <row r="236" spans="1:13">
      <c r="F236" s="6"/>
      <c r="G236" s="6"/>
      <c r="H236" s="6"/>
      <c r="I236" s="6"/>
      <c r="J236" s="6"/>
      <c r="K236" s="6"/>
      <c r="L236" s="6"/>
      <c r="M236" s="6"/>
    </row>
    <row r="237" spans="1:13">
      <c r="A237" s="13" t="s">
        <v>97</v>
      </c>
      <c r="F237" s="6"/>
      <c r="G237" s="6"/>
      <c r="H237" s="6"/>
      <c r="I237" s="6"/>
      <c r="J237" s="6"/>
      <c r="K237" s="6"/>
      <c r="L237" s="6"/>
      <c r="M237" s="6"/>
    </row>
    <row r="238" spans="1:13">
      <c r="F238" s="6"/>
      <c r="G238" s="6"/>
      <c r="H238" s="6"/>
      <c r="I238" s="6"/>
      <c r="J238" s="6"/>
      <c r="K238" s="6"/>
      <c r="L238" s="6"/>
      <c r="M238" s="6"/>
    </row>
    <row r="239" spans="1:13">
      <c r="F239" s="6"/>
      <c r="G239" s="6"/>
      <c r="H239" s="6"/>
      <c r="I239" s="6"/>
      <c r="J239" s="6"/>
      <c r="K239" s="6"/>
      <c r="L239" s="6"/>
      <c r="M239" s="6"/>
    </row>
    <row r="240" spans="1:13">
      <c r="F240" s="6"/>
      <c r="G240" s="6"/>
      <c r="H240" s="6"/>
      <c r="I240" s="6"/>
      <c r="J240" s="6"/>
      <c r="K240" s="6"/>
      <c r="L240" s="6"/>
      <c r="M240" s="6"/>
    </row>
    <row r="241" spans="6:13">
      <c r="F241" s="6"/>
      <c r="G241" s="6"/>
      <c r="H241" s="6"/>
      <c r="I241" s="6"/>
      <c r="J241" s="6"/>
      <c r="K241" s="6"/>
      <c r="L241" s="6"/>
      <c r="M241" s="6"/>
    </row>
    <row r="242" spans="6:13">
      <c r="F242" s="6"/>
      <c r="G242" s="6"/>
      <c r="H242" s="6"/>
      <c r="I242" s="6"/>
      <c r="J242" s="6"/>
      <c r="K242" s="6"/>
      <c r="L242" s="6"/>
      <c r="M242" s="6"/>
    </row>
    <row r="243" spans="6:13">
      <c r="F243" s="6"/>
      <c r="G243" s="6"/>
      <c r="H243" s="6"/>
      <c r="I243" s="6"/>
      <c r="J243" s="6"/>
      <c r="K243" s="6"/>
      <c r="L243" s="6"/>
      <c r="M243" s="6"/>
    </row>
    <row r="244" spans="6:13">
      <c r="F244" s="6"/>
      <c r="G244" s="6"/>
      <c r="H244" s="6"/>
      <c r="I244" s="6"/>
      <c r="J244" s="6"/>
      <c r="K244" s="6"/>
      <c r="L244" s="6"/>
      <c r="M244" s="6"/>
    </row>
    <row r="245" spans="6:13">
      <c r="F245" s="6"/>
      <c r="G245" s="6"/>
      <c r="H245" s="6"/>
      <c r="I245" s="6"/>
      <c r="J245" s="6"/>
      <c r="K245" s="6"/>
      <c r="L245" s="6"/>
      <c r="M245" s="6"/>
    </row>
    <row r="246" spans="6:13">
      <c r="F246" s="6"/>
      <c r="G246" s="6"/>
      <c r="H246" s="6"/>
      <c r="I246" s="6"/>
      <c r="J246" s="6"/>
      <c r="K246" s="6"/>
      <c r="L246" s="6"/>
      <c r="M246" s="6"/>
    </row>
    <row r="247" spans="6:13">
      <c r="F247" s="6"/>
      <c r="G247" s="6"/>
      <c r="H247" s="6"/>
      <c r="I247" s="6"/>
      <c r="J247" s="6"/>
      <c r="K247" s="6"/>
      <c r="L247" s="6"/>
      <c r="M247" s="6"/>
    </row>
    <row r="248" spans="6:13">
      <c r="F248" s="6"/>
      <c r="G248" s="6"/>
      <c r="H248" s="6"/>
      <c r="I248" s="6"/>
      <c r="J248" s="6"/>
      <c r="K248" s="6"/>
      <c r="L248" s="6"/>
      <c r="M248" s="6"/>
    </row>
    <row r="249" spans="6:13">
      <c r="F249" s="6"/>
      <c r="G249" s="6"/>
      <c r="H249" s="6"/>
      <c r="I249" s="6"/>
      <c r="J249" s="6"/>
      <c r="K249" s="6"/>
      <c r="L249" s="6"/>
      <c r="M249" s="6"/>
    </row>
    <row r="250" spans="6:13">
      <c r="F250" s="6"/>
      <c r="G250" s="6"/>
      <c r="H250" s="6"/>
      <c r="I250" s="6"/>
      <c r="J250" s="6"/>
      <c r="K250" s="6"/>
      <c r="L250" s="6"/>
      <c r="M250" s="6"/>
    </row>
    <row r="251" spans="6:13">
      <c r="F251" s="6"/>
      <c r="G251" s="6"/>
      <c r="H251" s="6"/>
      <c r="I251" s="6"/>
      <c r="J251" s="6"/>
      <c r="K251" s="6"/>
      <c r="L251" s="6"/>
      <c r="M251" s="6"/>
    </row>
    <row r="252" spans="6:13">
      <c r="F252" s="6"/>
      <c r="G252" s="6"/>
      <c r="H252" s="6"/>
      <c r="I252" s="6"/>
      <c r="J252" s="6"/>
      <c r="K252" s="6"/>
      <c r="L252" s="6"/>
      <c r="M252" s="6"/>
    </row>
    <row r="253" spans="6:13">
      <c r="F253" s="6"/>
      <c r="G253" s="6"/>
      <c r="H253" s="6"/>
      <c r="I253" s="6"/>
      <c r="J253" s="6"/>
      <c r="K253" s="6"/>
      <c r="L253" s="6"/>
      <c r="M253" s="6"/>
    </row>
  </sheetData>
  <sheetProtection selectLockedCells="1" selectUnlockedCells="1"/>
  <mergeCells count="19">
    <mergeCell ref="B11:E11"/>
    <mergeCell ref="B93:E93"/>
    <mergeCell ref="B17:E17"/>
    <mergeCell ref="B105:E105"/>
    <mergeCell ref="B95:E95"/>
    <mergeCell ref="B12:E12"/>
    <mergeCell ref="B13:E13"/>
    <mergeCell ref="B6:E6"/>
    <mergeCell ref="B7:E7"/>
    <mergeCell ref="B8:E8"/>
    <mergeCell ref="A1:M1"/>
    <mergeCell ref="A2:M2"/>
    <mergeCell ref="A3:M3"/>
    <mergeCell ref="A4:A5"/>
    <mergeCell ref="B4:E4"/>
    <mergeCell ref="H4:J4"/>
    <mergeCell ref="K4:M4"/>
    <mergeCell ref="G4:G5"/>
    <mergeCell ref="F4:F5"/>
  </mergeCells>
  <phoneticPr fontId="2" type="noConversion"/>
  <pageMargins left="0.39370078740157483" right="0.19685039370078741" top="0.19685039370078741" bottom="0.39370078740157483" header="0.51181102362204722" footer="0.31496062992125984"/>
  <pageSetup paperSize="9" scale="70" firstPageNumber="0" fitToHeight="200" orientation="landscape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M253"/>
  <sheetViews>
    <sheetView showGridLines="0" workbookViewId="0">
      <pane xSplit="2" ySplit="16" topLeftCell="C17" activePane="bottomRight" state="frozen"/>
      <selection pane="topRight" activeCell="C1" sqref="C1"/>
      <selection pane="bottomLeft" activeCell="A16" sqref="A16"/>
      <selection pane="bottomRight" activeCell="H23" sqref="H23:H25"/>
    </sheetView>
  </sheetViews>
  <sheetFormatPr defaultRowHeight="12.75" outlineLevelRow="7"/>
  <cols>
    <col min="1" max="1" width="69.5703125" style="1" customWidth="1"/>
    <col min="2" max="2" width="5.85546875" style="1" customWidth="1"/>
    <col min="3" max="3" width="13.140625" style="1" customWidth="1"/>
    <col min="4" max="4" width="5.5703125" style="1" customWidth="1"/>
    <col min="5" max="5" width="5.28515625" style="1" customWidth="1"/>
    <col min="6" max="6" width="11.85546875" style="1" customWidth="1"/>
    <col min="7" max="7" width="11.42578125" style="1" customWidth="1"/>
    <col min="8" max="8" width="12.28515625" style="1" customWidth="1"/>
    <col min="9" max="9" width="12.5703125" style="1" customWidth="1"/>
    <col min="10" max="10" width="12.42578125" style="1" customWidth="1"/>
    <col min="11" max="12" width="11.7109375" style="1" customWidth="1"/>
    <col min="13" max="13" width="12.28515625" style="1" customWidth="1"/>
    <col min="14" max="16384" width="9.140625" style="1"/>
  </cols>
  <sheetData>
    <row r="1" spans="1:13" ht="15.75" customHeight="1">
      <c r="A1" s="234" t="s">
        <v>226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13" ht="15.75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</row>
    <row r="3" spans="1:13">
      <c r="A3" s="236" t="s">
        <v>0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</row>
    <row r="4" spans="1:13" ht="54.6" customHeight="1">
      <c r="A4" s="237" t="s">
        <v>1</v>
      </c>
      <c r="B4" s="238" t="s">
        <v>66</v>
      </c>
      <c r="C4" s="239"/>
      <c r="D4" s="239"/>
      <c r="E4" s="240"/>
      <c r="F4" s="237" t="s">
        <v>227</v>
      </c>
      <c r="G4" s="237" t="s">
        <v>228</v>
      </c>
      <c r="H4" s="241" t="s">
        <v>6</v>
      </c>
      <c r="I4" s="242"/>
      <c r="J4" s="243"/>
      <c r="K4" s="241" t="s">
        <v>7</v>
      </c>
      <c r="L4" s="242"/>
      <c r="M4" s="243"/>
    </row>
    <row r="5" spans="1:13" ht="25.5">
      <c r="A5" s="237"/>
      <c r="B5" s="12" t="s">
        <v>2</v>
      </c>
      <c r="C5" s="12" t="s">
        <v>3</v>
      </c>
      <c r="D5" s="12" t="s">
        <v>4</v>
      </c>
      <c r="E5" s="12" t="s">
        <v>5</v>
      </c>
      <c r="F5" s="237"/>
      <c r="G5" s="237"/>
      <c r="H5" s="2" t="s">
        <v>84</v>
      </c>
      <c r="I5" s="2" t="s">
        <v>177</v>
      </c>
      <c r="J5" s="2" t="s">
        <v>229</v>
      </c>
      <c r="K5" s="2" t="s">
        <v>84</v>
      </c>
      <c r="L5" s="2" t="s">
        <v>177</v>
      </c>
      <c r="M5" s="2" t="s">
        <v>229</v>
      </c>
    </row>
    <row r="6" spans="1:13" ht="15">
      <c r="A6" s="14" t="s">
        <v>8</v>
      </c>
      <c r="B6" s="231"/>
      <c r="C6" s="232"/>
      <c r="D6" s="232"/>
      <c r="E6" s="233"/>
      <c r="F6" s="58">
        <f t="shared" ref="F6" si="0">F7-F13</f>
        <v>-437928.75999999978</v>
      </c>
      <c r="G6" s="58">
        <f>G7-G13</f>
        <v>30650.929999999702</v>
      </c>
      <c r="H6" s="58">
        <f t="shared" ref="H6:J6" si="1">H7-H13</f>
        <v>-1769130.3399999999</v>
      </c>
      <c r="I6" s="58">
        <f t="shared" si="1"/>
        <v>-1561062</v>
      </c>
      <c r="J6" s="58">
        <f t="shared" si="1"/>
        <v>-761559</v>
      </c>
      <c r="K6" s="58">
        <f t="shared" ref="K6:M6" si="2">K7-K13</f>
        <v>-1769130.3399999999</v>
      </c>
      <c r="L6" s="58">
        <f t="shared" si="2"/>
        <v>-703897</v>
      </c>
      <c r="M6" s="58">
        <f t="shared" si="2"/>
        <v>-761559</v>
      </c>
    </row>
    <row r="7" spans="1:13" ht="15">
      <c r="A7" s="14" t="s">
        <v>99</v>
      </c>
      <c r="B7" s="231"/>
      <c r="C7" s="232"/>
      <c r="D7" s="232"/>
      <c r="E7" s="233"/>
      <c r="F7" s="58">
        <f t="shared" ref="F7:J7" si="3">F8+F12+F10+F11+F9</f>
        <v>5497645.1899999995</v>
      </c>
      <c r="G7" s="58">
        <f t="shared" si="3"/>
        <v>2290625.67</v>
      </c>
      <c r="H7" s="58">
        <f t="shared" si="3"/>
        <v>3467256</v>
      </c>
      <c r="I7" s="58">
        <f t="shared" si="3"/>
        <v>3678892</v>
      </c>
      <c r="J7" s="58">
        <f t="shared" si="3"/>
        <v>3470956</v>
      </c>
      <c r="K7" s="58">
        <f t="shared" ref="K7:M7" si="4">K8+K12+K10+K11+K9</f>
        <v>3467256</v>
      </c>
      <c r="L7" s="58">
        <f t="shared" si="4"/>
        <v>5391750</v>
      </c>
      <c r="M7" s="58">
        <f t="shared" si="4"/>
        <v>3470956</v>
      </c>
    </row>
    <row r="8" spans="1:13" ht="25.5">
      <c r="A8" s="15" t="s">
        <v>263</v>
      </c>
      <c r="B8" s="231"/>
      <c r="C8" s="232"/>
      <c r="D8" s="232"/>
      <c r="E8" s="233"/>
      <c r="F8" s="188">
        <f>1120299+39257.19+8781</f>
        <v>1168337.19</v>
      </c>
      <c r="G8" s="189">
        <f>407789.24+18500+8781</f>
        <v>435070.24</v>
      </c>
      <c r="H8" s="207">
        <f>1050688+H184+H189+H194+H199+H205+H210+H215</f>
        <v>1114577</v>
      </c>
      <c r="I8" s="207">
        <f>1057324+I184+I189+I194+I199+I205+I210+I215</f>
        <v>1126213</v>
      </c>
      <c r="J8" s="207">
        <f>1064388+J184+J189+J194+J199+J205+J210+J215</f>
        <v>1118277</v>
      </c>
      <c r="K8" s="207">
        <f>1050688+K184+K189+K194+K199+K205+K210+K215</f>
        <v>1114577</v>
      </c>
      <c r="L8" s="207">
        <f>1057324+505429+L184+L189+L194+L199+L205+L210+L215</f>
        <v>1619071</v>
      </c>
      <c r="M8" s="207">
        <f>1064388+M184+M189+M194+M199+M205+M210+M215</f>
        <v>1118277</v>
      </c>
    </row>
    <row r="9" spans="1:13" ht="15">
      <c r="A9" s="15" t="s">
        <v>100</v>
      </c>
      <c r="B9" s="222"/>
      <c r="C9" s="223"/>
      <c r="D9" s="223"/>
      <c r="E9" s="224"/>
      <c r="F9" s="59">
        <f>1169097+700000</f>
        <v>1869097</v>
      </c>
      <c r="G9" s="102"/>
      <c r="H9" s="59">
        <f>H76+H174+H181+H186+H191+H196+H202+H207+H212</f>
        <v>0</v>
      </c>
      <c r="I9" s="59">
        <f t="shared" ref="I9:J9" si="5">I76+I174+I181+I186+I191+I196+I202+I207+I212</f>
        <v>200000</v>
      </c>
      <c r="J9" s="59">
        <f t="shared" si="5"/>
        <v>0</v>
      </c>
      <c r="K9" s="59">
        <f>K76+K174+K181+K186+K191+K196+K202+K207+K212</f>
        <v>0</v>
      </c>
      <c r="L9" s="59">
        <f t="shared" ref="L9:M9" si="6">L76+L174+L181+L186+L191+L196+L202+L207+L212</f>
        <v>1420000</v>
      </c>
      <c r="M9" s="59">
        <f t="shared" si="6"/>
        <v>0</v>
      </c>
    </row>
    <row r="10" spans="1:13" ht="15">
      <c r="A10" s="15" t="s">
        <v>101</v>
      </c>
      <c r="B10" s="222"/>
      <c r="C10" s="223"/>
      <c r="D10" s="223"/>
      <c r="E10" s="224"/>
      <c r="F10" s="59">
        <v>27452</v>
      </c>
      <c r="G10" s="102">
        <v>21667</v>
      </c>
      <c r="H10" s="59">
        <f>H217</f>
        <v>0</v>
      </c>
      <c r="I10" s="59">
        <f t="shared" ref="I10:J10" si="7">I217</f>
        <v>0</v>
      </c>
      <c r="J10" s="59">
        <f t="shared" si="7"/>
        <v>0</v>
      </c>
      <c r="K10" s="59">
        <f>K217</f>
        <v>0</v>
      </c>
      <c r="L10" s="59">
        <f t="shared" ref="L10:M10" si="8">L217</f>
        <v>0</v>
      </c>
      <c r="M10" s="59">
        <f t="shared" si="8"/>
        <v>0</v>
      </c>
    </row>
    <row r="11" spans="1:13" ht="15">
      <c r="A11" s="16" t="s">
        <v>9</v>
      </c>
      <c r="B11" s="231"/>
      <c r="C11" s="232"/>
      <c r="D11" s="232"/>
      <c r="E11" s="233"/>
      <c r="F11" s="60">
        <f>475000+137239.78+150000-85159.78</f>
        <v>677080</v>
      </c>
      <c r="G11" s="103">
        <f>196762.4+109215.81+150000-85159.78</f>
        <v>370818.42999999993</v>
      </c>
      <c r="H11" s="60">
        <f>H89+H99+H106+H183+H188+H193+H198+H204+H209+H214</f>
        <v>597000</v>
      </c>
      <c r="I11" s="60">
        <f t="shared" ref="I11:J11" si="9">I89+I99+I106+I183+I188+I193+I198+I204+I209+I214</f>
        <v>597000</v>
      </c>
      <c r="J11" s="60">
        <f t="shared" si="9"/>
        <v>597000</v>
      </c>
      <c r="K11" s="60">
        <f>K89+K99+K106+K183+K188+K193+K198+K204+K209+K214</f>
        <v>597000</v>
      </c>
      <c r="L11" s="60">
        <f t="shared" ref="L11:M11" si="10">L89+L99+L106+L183+L188+L193+L198+L204+L209+L214</f>
        <v>597000</v>
      </c>
      <c r="M11" s="60">
        <f t="shared" si="10"/>
        <v>597000</v>
      </c>
    </row>
    <row r="12" spans="1:13" ht="15">
      <c r="A12" s="16" t="s">
        <v>10</v>
      </c>
      <c r="B12" s="231"/>
      <c r="C12" s="232"/>
      <c r="D12" s="232"/>
      <c r="E12" s="233"/>
      <c r="F12" s="59">
        <v>1755679</v>
      </c>
      <c r="G12" s="102">
        <v>1463070</v>
      </c>
      <c r="H12" s="59">
        <v>1755679</v>
      </c>
      <c r="I12" s="59">
        <v>1755679</v>
      </c>
      <c r="J12" s="59">
        <v>1755679</v>
      </c>
      <c r="K12" s="59">
        <v>1755679</v>
      </c>
      <c r="L12" s="59">
        <v>1755679</v>
      </c>
      <c r="M12" s="59">
        <v>1755679</v>
      </c>
    </row>
    <row r="13" spans="1:13" ht="15">
      <c r="A13" s="14" t="s">
        <v>11</v>
      </c>
      <c r="B13" s="231"/>
      <c r="C13" s="232"/>
      <c r="D13" s="232"/>
      <c r="E13" s="233"/>
      <c r="F13" s="61">
        <f t="shared" ref="F13:J13" si="11">F17+F93+F95+F105+F216</f>
        <v>5935573.9499999993</v>
      </c>
      <c r="G13" s="61">
        <f t="shared" si="11"/>
        <v>2259974.7400000002</v>
      </c>
      <c r="H13" s="61">
        <f t="shared" si="11"/>
        <v>5236386.34</v>
      </c>
      <c r="I13" s="61">
        <f t="shared" si="11"/>
        <v>5239954</v>
      </c>
      <c r="J13" s="61">
        <f t="shared" si="11"/>
        <v>4232515</v>
      </c>
      <c r="K13" s="61">
        <f t="shared" ref="K13:M13" si="12">K17+K93+K95+K105+K216</f>
        <v>5236386.34</v>
      </c>
      <c r="L13" s="61">
        <f t="shared" si="12"/>
        <v>6095647</v>
      </c>
      <c r="M13" s="61">
        <f t="shared" si="12"/>
        <v>4232515</v>
      </c>
    </row>
    <row r="14" spans="1:13" ht="14.25">
      <c r="A14" s="177" t="s">
        <v>199</v>
      </c>
      <c r="B14" s="178"/>
      <c r="C14" s="179"/>
      <c r="D14" s="179"/>
      <c r="E14" s="180"/>
      <c r="F14" s="181"/>
      <c r="G14" s="181"/>
      <c r="H14" s="181"/>
      <c r="I14" s="181"/>
      <c r="J14" s="181"/>
      <c r="K14" s="181"/>
      <c r="L14" s="181"/>
      <c r="M14" s="181"/>
    </row>
    <row r="15" spans="1:13" ht="14.25">
      <c r="A15" s="177" t="s">
        <v>200</v>
      </c>
      <c r="B15" s="178"/>
      <c r="C15" s="179"/>
      <c r="D15" s="179"/>
      <c r="E15" s="180"/>
      <c r="F15" s="181"/>
      <c r="G15" s="181"/>
      <c r="H15" s="181"/>
      <c r="I15" s="181"/>
      <c r="J15" s="181"/>
      <c r="K15" s="181"/>
      <c r="L15" s="181"/>
      <c r="M15" s="181"/>
    </row>
    <row r="16" spans="1:13" ht="15">
      <c r="A16" s="134" t="s">
        <v>85</v>
      </c>
      <c r="B16" s="135"/>
      <c r="C16" s="136"/>
      <c r="D16" s="136"/>
      <c r="E16" s="137"/>
      <c r="F16" s="138">
        <f>F17+F93+F95+F105-F76-F89-F99-F106-F174-F181-F183-F186-F188-F191-F193-F196-F198-F202-F204-F207-F209-F212-F214</f>
        <v>3511944.9499999993</v>
      </c>
      <c r="G16" s="138">
        <f t="shared" ref="G16:J16" si="13">G17+G93+G95+G105-G76-G89-G99-G106-G174-G181-G183-G186-G188-G191-G193-G196-G198-G202-G204-G207-G209-G212-G214</f>
        <v>2020566.7700000005</v>
      </c>
      <c r="H16" s="138">
        <f t="shared" si="13"/>
        <v>4639386.34</v>
      </c>
      <c r="I16" s="138">
        <f t="shared" si="13"/>
        <v>4442954</v>
      </c>
      <c r="J16" s="138">
        <f t="shared" si="13"/>
        <v>3635515</v>
      </c>
      <c r="K16" s="138">
        <f t="shared" ref="K16:M16" si="14">K17+K93+K95+K105-K76-K89-K99-K106-K174-K181-K183-K186-K188-K191-K193-K196-K198-K202-K204-K207-K209-K212-K214</f>
        <v>4639386.34</v>
      </c>
      <c r="L16" s="138">
        <f t="shared" si="14"/>
        <v>4078647</v>
      </c>
      <c r="M16" s="138">
        <f t="shared" si="14"/>
        <v>3635515</v>
      </c>
    </row>
    <row r="17" spans="1:13" ht="27.75" customHeight="1">
      <c r="A17" s="93" t="s">
        <v>130</v>
      </c>
      <c r="B17" s="247" t="s">
        <v>163</v>
      </c>
      <c r="C17" s="248"/>
      <c r="D17" s="248"/>
      <c r="E17" s="249"/>
      <c r="F17" s="92">
        <f>F18+F22+F25+F60+F70+F73+F78+F81+F82+F83+F86+F89</f>
        <v>1890340.69</v>
      </c>
      <c r="G17" s="92">
        <f t="shared" ref="G17:J17" si="15">G18+G22+G25+G60+G70+G73+G78+G81+G82+G83+G86+G89</f>
        <v>1138508.0000000002</v>
      </c>
      <c r="H17" s="92">
        <f t="shared" si="15"/>
        <v>2059123.8900000001</v>
      </c>
      <c r="I17" s="92">
        <f t="shared" si="15"/>
        <v>2209778</v>
      </c>
      <c r="J17" s="92">
        <f t="shared" si="15"/>
        <v>1921891</v>
      </c>
      <c r="K17" s="92">
        <f t="shared" ref="K17:M17" si="16">K18+K22+K25+K60+K70+K73+K78+K81+K82+K83+K86+K89</f>
        <v>2059123.8900000001</v>
      </c>
      <c r="L17" s="92">
        <f t="shared" si="16"/>
        <v>2209778</v>
      </c>
      <c r="M17" s="92">
        <f t="shared" si="16"/>
        <v>1921891</v>
      </c>
    </row>
    <row r="18" spans="1:13" outlineLevel="4">
      <c r="A18" s="3" t="s">
        <v>75</v>
      </c>
      <c r="B18" s="17" t="s">
        <v>12</v>
      </c>
      <c r="C18" s="18"/>
      <c r="D18" s="17"/>
      <c r="E18" s="17"/>
      <c r="F18" s="62">
        <f>SUM(F19:F21)</f>
        <v>0</v>
      </c>
      <c r="G18" s="62">
        <f t="shared" ref="G18:J18" si="17">SUM(G19:G21)</f>
        <v>0</v>
      </c>
      <c r="H18" s="62">
        <f t="shared" si="17"/>
        <v>0</v>
      </c>
      <c r="I18" s="62">
        <f t="shared" si="17"/>
        <v>0</v>
      </c>
      <c r="J18" s="62">
        <f t="shared" si="17"/>
        <v>0</v>
      </c>
      <c r="K18" s="62">
        <f t="shared" ref="K18:M18" si="18">SUM(K19:K21)</f>
        <v>0</v>
      </c>
      <c r="L18" s="62">
        <f t="shared" si="18"/>
        <v>0</v>
      </c>
      <c r="M18" s="62">
        <f t="shared" si="18"/>
        <v>0</v>
      </c>
    </row>
    <row r="19" spans="1:13" ht="13.5" customHeight="1" outlineLevel="7">
      <c r="A19" s="4" t="s">
        <v>14</v>
      </c>
      <c r="B19" s="19" t="s">
        <v>12</v>
      </c>
      <c r="C19" s="20" t="s">
        <v>102</v>
      </c>
      <c r="D19" s="19" t="s">
        <v>15</v>
      </c>
      <c r="E19" s="19" t="s">
        <v>58</v>
      </c>
      <c r="F19" s="64"/>
      <c r="G19" s="65"/>
      <c r="H19" s="64"/>
      <c r="I19" s="63"/>
      <c r="J19" s="63"/>
      <c r="K19" s="64"/>
      <c r="L19" s="63"/>
      <c r="M19" s="63"/>
    </row>
    <row r="20" spans="1:13" ht="12.75" customHeight="1" outlineLevel="7">
      <c r="A20" s="4" t="s">
        <v>103</v>
      </c>
      <c r="B20" s="19" t="s">
        <v>12</v>
      </c>
      <c r="C20" s="20" t="s">
        <v>104</v>
      </c>
      <c r="D20" s="19" t="s">
        <v>21</v>
      </c>
      <c r="E20" s="19" t="s">
        <v>58</v>
      </c>
      <c r="F20" s="64"/>
      <c r="G20" s="65"/>
      <c r="H20" s="64"/>
      <c r="I20" s="63"/>
      <c r="J20" s="63"/>
      <c r="K20" s="64"/>
      <c r="L20" s="63"/>
      <c r="M20" s="63"/>
    </row>
    <row r="21" spans="1:13" ht="14.25" customHeight="1" outlineLevel="7">
      <c r="A21" s="4" t="s">
        <v>16</v>
      </c>
      <c r="B21" s="19" t="s">
        <v>12</v>
      </c>
      <c r="C21" s="20" t="s">
        <v>104</v>
      </c>
      <c r="D21" s="19" t="s">
        <v>22</v>
      </c>
      <c r="E21" s="19" t="s">
        <v>58</v>
      </c>
      <c r="F21" s="64"/>
      <c r="G21" s="65"/>
      <c r="H21" s="64"/>
      <c r="I21" s="63"/>
      <c r="J21" s="63"/>
      <c r="K21" s="64"/>
      <c r="L21" s="63"/>
      <c r="M21" s="63"/>
    </row>
    <row r="22" spans="1:13" outlineLevel="4">
      <c r="A22" s="3" t="s">
        <v>106</v>
      </c>
      <c r="B22" s="17" t="s">
        <v>17</v>
      </c>
      <c r="C22" s="21" t="s">
        <v>105</v>
      </c>
      <c r="D22" s="17" t="s">
        <v>13</v>
      </c>
      <c r="E22" s="19"/>
      <c r="F22" s="62">
        <f t="shared" ref="F22" si="19">SUM(F23:F24)</f>
        <v>509961</v>
      </c>
      <c r="G22" s="62">
        <f>SUM(G23:G24)</f>
        <v>344307.59</v>
      </c>
      <c r="H22" s="62">
        <f t="shared" ref="H22:J22" si="20">SUM(H23:H24)</f>
        <v>521387</v>
      </c>
      <c r="I22" s="62">
        <f t="shared" si="20"/>
        <v>521387</v>
      </c>
      <c r="J22" s="62">
        <f t="shared" si="20"/>
        <v>521387</v>
      </c>
      <c r="K22" s="62">
        <f t="shared" ref="K22:M22" si="21">SUM(K23:K24)</f>
        <v>521387</v>
      </c>
      <c r="L22" s="62">
        <f t="shared" si="21"/>
        <v>521387</v>
      </c>
      <c r="M22" s="62">
        <f t="shared" si="21"/>
        <v>521387</v>
      </c>
    </row>
    <row r="23" spans="1:13" outlineLevel="7">
      <c r="A23" s="4" t="s">
        <v>182</v>
      </c>
      <c r="B23" s="19" t="s">
        <v>17</v>
      </c>
      <c r="C23" s="87" t="s">
        <v>105</v>
      </c>
      <c r="D23" s="19" t="s">
        <v>18</v>
      </c>
      <c r="E23" s="19" t="s">
        <v>58</v>
      </c>
      <c r="F23" s="63">
        <v>391675</v>
      </c>
      <c r="G23" s="65">
        <v>265921.13</v>
      </c>
      <c r="H23" s="63">
        <v>400451</v>
      </c>
      <c r="I23" s="63">
        <v>400451</v>
      </c>
      <c r="J23" s="63">
        <v>400451</v>
      </c>
      <c r="K23" s="63">
        <v>400451</v>
      </c>
      <c r="L23" s="63">
        <v>400451</v>
      </c>
      <c r="M23" s="63">
        <v>400451</v>
      </c>
    </row>
    <row r="24" spans="1:13" outlineLevel="7">
      <c r="A24" s="4" t="s">
        <v>80</v>
      </c>
      <c r="B24" s="19" t="s">
        <v>17</v>
      </c>
      <c r="C24" s="87" t="s">
        <v>105</v>
      </c>
      <c r="D24" s="19" t="s">
        <v>59</v>
      </c>
      <c r="E24" s="19" t="s">
        <v>58</v>
      </c>
      <c r="F24" s="65">
        <v>118286</v>
      </c>
      <c r="G24" s="65">
        <v>78386.460000000006</v>
      </c>
      <c r="H24" s="65">
        <v>120936</v>
      </c>
      <c r="I24" s="65">
        <v>120936</v>
      </c>
      <c r="J24" s="65">
        <v>120936</v>
      </c>
      <c r="K24" s="65">
        <v>120936</v>
      </c>
      <c r="L24" s="65">
        <v>120936</v>
      </c>
      <c r="M24" s="65">
        <v>120936</v>
      </c>
    </row>
    <row r="25" spans="1:13" ht="25.5" outlineLevel="4">
      <c r="A25" s="3" t="s">
        <v>108</v>
      </c>
      <c r="B25" s="17" t="s">
        <v>17</v>
      </c>
      <c r="C25" s="21" t="s">
        <v>107</v>
      </c>
      <c r="D25" s="17" t="s">
        <v>13</v>
      </c>
      <c r="E25" s="17"/>
      <c r="F25" s="62">
        <f>F26+F27+F28+F31+F38+F54+F55+F56</f>
        <v>724808.69</v>
      </c>
      <c r="G25" s="62">
        <f t="shared" ref="G25:J25" si="22">G26+G27+G28+G31+G38+G54+G55+G56</f>
        <v>470150.84</v>
      </c>
      <c r="H25" s="62">
        <f t="shared" si="22"/>
        <v>780994.89</v>
      </c>
      <c r="I25" s="62">
        <f t="shared" si="22"/>
        <v>725480</v>
      </c>
      <c r="J25" s="62">
        <f t="shared" si="22"/>
        <v>660480</v>
      </c>
      <c r="K25" s="62">
        <f t="shared" ref="K25:M25" si="23">K26+K27+K28+K31+K38+K54+K55+K56</f>
        <v>780994.89</v>
      </c>
      <c r="L25" s="62">
        <f t="shared" si="23"/>
        <v>725480</v>
      </c>
      <c r="M25" s="62">
        <f t="shared" si="23"/>
        <v>660480</v>
      </c>
    </row>
    <row r="26" spans="1:13" outlineLevel="7">
      <c r="A26" s="82" t="s">
        <v>196</v>
      </c>
      <c r="B26" s="83" t="s">
        <v>17</v>
      </c>
      <c r="C26" s="87" t="s">
        <v>107</v>
      </c>
      <c r="D26" s="83" t="s">
        <v>18</v>
      </c>
      <c r="E26" s="83" t="s">
        <v>58</v>
      </c>
      <c r="F26" s="65">
        <v>344612</v>
      </c>
      <c r="G26" s="65">
        <v>229447.79</v>
      </c>
      <c r="H26" s="65">
        <v>352372</v>
      </c>
      <c r="I26" s="65">
        <v>352372</v>
      </c>
      <c r="J26" s="65">
        <v>352372</v>
      </c>
      <c r="K26" s="65">
        <v>352372</v>
      </c>
      <c r="L26" s="65">
        <v>352372</v>
      </c>
      <c r="M26" s="65">
        <v>352372</v>
      </c>
    </row>
    <row r="27" spans="1:13" outlineLevel="7">
      <c r="A27" s="4" t="s">
        <v>53</v>
      </c>
      <c r="B27" s="19" t="s">
        <v>17</v>
      </c>
      <c r="C27" s="87" t="s">
        <v>107</v>
      </c>
      <c r="D27" s="19" t="s">
        <v>59</v>
      </c>
      <c r="E27" s="19" t="s">
        <v>58</v>
      </c>
      <c r="F27" s="65">
        <v>104073</v>
      </c>
      <c r="G27" s="65">
        <v>65797.600000000006</v>
      </c>
      <c r="H27" s="65">
        <v>106416</v>
      </c>
      <c r="I27" s="65">
        <v>106416</v>
      </c>
      <c r="J27" s="65">
        <v>106416</v>
      </c>
      <c r="K27" s="65">
        <v>106416</v>
      </c>
      <c r="L27" s="65">
        <v>106416</v>
      </c>
      <c r="M27" s="65">
        <v>106416</v>
      </c>
    </row>
    <row r="28" spans="1:13" outlineLevel="7">
      <c r="A28" s="4"/>
      <c r="B28" s="19" t="s">
        <v>17</v>
      </c>
      <c r="C28" s="87" t="s">
        <v>107</v>
      </c>
      <c r="D28" s="19" t="s">
        <v>20</v>
      </c>
      <c r="E28" s="19" t="s">
        <v>58</v>
      </c>
      <c r="F28" s="65">
        <f>SUM(F29:F30)</f>
        <v>14400</v>
      </c>
      <c r="G28" s="65">
        <f t="shared" ref="G28:J28" si="24">SUM(G29:G30)</f>
        <v>4299.46</v>
      </c>
      <c r="H28" s="65">
        <f t="shared" si="24"/>
        <v>28800</v>
      </c>
      <c r="I28" s="65">
        <f t="shared" si="24"/>
        <v>28800</v>
      </c>
      <c r="J28" s="65">
        <f t="shared" si="24"/>
        <v>28800</v>
      </c>
      <c r="K28" s="65">
        <f t="shared" ref="K28:M28" si="25">SUM(K29:K30)</f>
        <v>28800</v>
      </c>
      <c r="L28" s="65">
        <f t="shared" si="25"/>
        <v>28800</v>
      </c>
      <c r="M28" s="65">
        <f t="shared" si="25"/>
        <v>28800</v>
      </c>
    </row>
    <row r="29" spans="1:13" outlineLevel="7">
      <c r="A29" s="4" t="s">
        <v>19</v>
      </c>
      <c r="B29" s="19"/>
      <c r="C29" s="22"/>
      <c r="D29" s="19"/>
      <c r="E29" s="19"/>
      <c r="F29" s="65">
        <v>14400</v>
      </c>
      <c r="G29" s="65">
        <v>4299.46</v>
      </c>
      <c r="H29" s="65">
        <v>28800</v>
      </c>
      <c r="I29" s="65">
        <v>28800</v>
      </c>
      <c r="J29" s="65">
        <v>28800</v>
      </c>
      <c r="K29" s="65">
        <v>28800</v>
      </c>
      <c r="L29" s="65">
        <v>28800</v>
      </c>
      <c r="M29" s="65">
        <v>28800</v>
      </c>
    </row>
    <row r="30" spans="1:13" outlineLevel="7">
      <c r="A30" s="4" t="s">
        <v>86</v>
      </c>
      <c r="B30" s="19"/>
      <c r="C30" s="22"/>
      <c r="D30" s="19"/>
      <c r="E30" s="19"/>
      <c r="F30" s="65"/>
      <c r="G30" s="65"/>
      <c r="H30" s="65"/>
      <c r="I30" s="65"/>
      <c r="J30" s="65"/>
      <c r="K30" s="65"/>
      <c r="L30" s="65"/>
      <c r="M30" s="65"/>
    </row>
    <row r="31" spans="1:13" ht="25.5" outlineLevel="5">
      <c r="A31" s="4" t="s">
        <v>74</v>
      </c>
      <c r="B31" s="19" t="s">
        <v>17</v>
      </c>
      <c r="C31" s="87" t="s">
        <v>107</v>
      </c>
      <c r="D31" s="19" t="s">
        <v>21</v>
      </c>
      <c r="E31" s="19" t="s">
        <v>58</v>
      </c>
      <c r="F31" s="65">
        <f>SUM(F32:F37)-44414</f>
        <v>40986</v>
      </c>
      <c r="G31" s="65">
        <f>SUM(G32:G37)</f>
        <v>28885.550000000003</v>
      </c>
      <c r="H31" s="65">
        <f t="shared" ref="H31:J31" si="26">SUM(H32:H37)</f>
        <v>59570.89</v>
      </c>
      <c r="I31" s="65">
        <f t="shared" si="26"/>
        <v>148056</v>
      </c>
      <c r="J31" s="65">
        <f t="shared" si="26"/>
        <v>83056</v>
      </c>
      <c r="K31" s="65">
        <f t="shared" ref="K31:M31" si="27">SUM(K32:K37)</f>
        <v>59570.89</v>
      </c>
      <c r="L31" s="65">
        <f t="shared" si="27"/>
        <v>148056</v>
      </c>
      <c r="M31" s="65">
        <f t="shared" si="27"/>
        <v>83056</v>
      </c>
    </row>
    <row r="32" spans="1:13" ht="25.5" outlineLevel="7">
      <c r="A32" s="8" t="s">
        <v>230</v>
      </c>
      <c r="B32" s="23"/>
      <c r="C32" s="24"/>
      <c r="D32" s="23"/>
      <c r="E32" s="23"/>
      <c r="F32" s="66">
        <v>10000</v>
      </c>
      <c r="G32" s="66">
        <v>6207.1</v>
      </c>
      <c r="H32" s="66">
        <v>10118</v>
      </c>
      <c r="I32" s="66">
        <v>10118</v>
      </c>
      <c r="J32" s="66">
        <v>10118</v>
      </c>
      <c r="K32" s="66">
        <v>10118</v>
      </c>
      <c r="L32" s="66">
        <v>10118</v>
      </c>
      <c r="M32" s="66">
        <v>10118</v>
      </c>
    </row>
    <row r="33" spans="1:13" outlineLevel="7">
      <c r="A33" s="9" t="s">
        <v>188</v>
      </c>
      <c r="B33" s="25"/>
      <c r="C33" s="26"/>
      <c r="D33" s="25"/>
      <c r="E33" s="25"/>
      <c r="F33" s="66"/>
      <c r="G33" s="66"/>
      <c r="H33" s="66"/>
      <c r="I33" s="66"/>
      <c r="J33" s="66"/>
      <c r="K33" s="66"/>
      <c r="L33" s="66"/>
      <c r="M33" s="66"/>
    </row>
    <row r="34" spans="1:13" ht="38.25" outlineLevel="7">
      <c r="A34" s="9" t="s">
        <v>231</v>
      </c>
      <c r="B34" s="25"/>
      <c r="C34" s="26"/>
      <c r="D34" s="25"/>
      <c r="E34" s="25"/>
      <c r="F34" s="66">
        <v>17000</v>
      </c>
      <c r="G34" s="66">
        <v>9178.4500000000007</v>
      </c>
      <c r="H34" s="66">
        <v>20542.89</v>
      </c>
      <c r="I34" s="66">
        <v>19028</v>
      </c>
      <c r="J34" s="66">
        <v>19028</v>
      </c>
      <c r="K34" s="66">
        <v>20542.89</v>
      </c>
      <c r="L34" s="66">
        <v>19028</v>
      </c>
      <c r="M34" s="66">
        <v>19028</v>
      </c>
    </row>
    <row r="35" spans="1:13" ht="25.5" outlineLevel="7">
      <c r="A35" s="8" t="s">
        <v>232</v>
      </c>
      <c r="B35" s="23"/>
      <c r="C35" s="24"/>
      <c r="D35" s="23"/>
      <c r="E35" s="23"/>
      <c r="F35" s="66"/>
      <c r="G35" s="66"/>
      <c r="H35" s="66">
        <v>4410</v>
      </c>
      <c r="I35" s="66">
        <v>4410</v>
      </c>
      <c r="J35" s="66">
        <v>4410</v>
      </c>
      <c r="K35" s="66">
        <v>4410</v>
      </c>
      <c r="L35" s="66">
        <v>4410</v>
      </c>
      <c r="M35" s="66">
        <v>4410</v>
      </c>
    </row>
    <row r="36" spans="1:13" ht="51" outlineLevel="7">
      <c r="A36" s="8" t="s">
        <v>265</v>
      </c>
      <c r="B36" s="23"/>
      <c r="C36" s="24"/>
      <c r="D36" s="23"/>
      <c r="E36" s="23"/>
      <c r="F36" s="66">
        <v>33400</v>
      </c>
      <c r="G36" s="66">
        <v>13500</v>
      </c>
      <c r="H36" s="66">
        <v>24500</v>
      </c>
      <c r="I36" s="66">
        <v>24500</v>
      </c>
      <c r="J36" s="66">
        <v>24500</v>
      </c>
      <c r="K36" s="66">
        <v>24500</v>
      </c>
      <c r="L36" s="66">
        <v>24500</v>
      </c>
      <c r="M36" s="66">
        <v>24500</v>
      </c>
    </row>
    <row r="37" spans="1:13" ht="25.5" outlineLevel="7">
      <c r="A37" s="8" t="s">
        <v>233</v>
      </c>
      <c r="B37" s="23"/>
      <c r="C37" s="24"/>
      <c r="D37" s="23"/>
      <c r="E37" s="23"/>
      <c r="F37" s="67">
        <v>25000</v>
      </c>
      <c r="G37" s="66"/>
      <c r="H37" s="67"/>
      <c r="I37" s="67">
        <v>90000</v>
      </c>
      <c r="J37" s="67">
        <v>25000</v>
      </c>
      <c r="K37" s="67"/>
      <c r="L37" s="67">
        <v>90000</v>
      </c>
      <c r="M37" s="67">
        <v>25000</v>
      </c>
    </row>
    <row r="38" spans="1:13" outlineLevel="5">
      <c r="A38" s="4" t="s">
        <v>87</v>
      </c>
      <c r="B38" s="19" t="s">
        <v>17</v>
      </c>
      <c r="C38" s="87" t="s">
        <v>107</v>
      </c>
      <c r="D38" s="19" t="s">
        <v>22</v>
      </c>
      <c r="E38" s="19" t="s">
        <v>58</v>
      </c>
      <c r="F38" s="68">
        <f>SUM(F39:F53)</f>
        <v>150699.43</v>
      </c>
      <c r="G38" s="68">
        <f>SUM(G39:G53)</f>
        <v>133500.43</v>
      </c>
      <c r="H38" s="68">
        <f t="shared" ref="H38:J38" si="28">SUM(H39:H53)</f>
        <v>202544</v>
      </c>
      <c r="I38" s="68">
        <f t="shared" si="28"/>
        <v>58544</v>
      </c>
      <c r="J38" s="68">
        <f t="shared" si="28"/>
        <v>58544</v>
      </c>
      <c r="K38" s="68">
        <f t="shared" ref="K38:M38" si="29">SUM(K39:K53)</f>
        <v>202544</v>
      </c>
      <c r="L38" s="68">
        <f t="shared" si="29"/>
        <v>58544</v>
      </c>
      <c r="M38" s="68">
        <f t="shared" si="29"/>
        <v>58544</v>
      </c>
    </row>
    <row r="39" spans="1:13" outlineLevel="5">
      <c r="A39" s="8" t="s">
        <v>23</v>
      </c>
      <c r="B39" s="23"/>
      <c r="C39" s="24"/>
      <c r="D39" s="23"/>
      <c r="E39" s="23"/>
      <c r="F39" s="67">
        <v>2000</v>
      </c>
      <c r="G39" s="66"/>
      <c r="H39" s="67">
        <v>4000</v>
      </c>
      <c r="I39" s="67">
        <v>4000</v>
      </c>
      <c r="J39" s="67">
        <v>4000</v>
      </c>
      <c r="K39" s="67">
        <v>4000</v>
      </c>
      <c r="L39" s="67">
        <v>4000</v>
      </c>
      <c r="M39" s="67">
        <v>4000</v>
      </c>
    </row>
    <row r="40" spans="1:13" outlineLevel="7">
      <c r="A40" s="11" t="s">
        <v>235</v>
      </c>
      <c r="B40" s="173"/>
      <c r="C40" s="175"/>
      <c r="D40" s="174"/>
      <c r="E40" s="29"/>
      <c r="F40" s="67">
        <v>0</v>
      </c>
      <c r="G40" s="75"/>
      <c r="H40" s="67">
        <v>120000</v>
      </c>
      <c r="I40" s="67"/>
      <c r="J40" s="67"/>
      <c r="K40" s="67">
        <v>120000</v>
      </c>
      <c r="L40" s="67"/>
      <c r="M40" s="67"/>
    </row>
    <row r="41" spans="1:13" outlineLevel="7">
      <c r="A41" s="11" t="s">
        <v>186</v>
      </c>
      <c r="B41" s="173"/>
      <c r="C41" s="175"/>
      <c r="D41" s="174"/>
      <c r="E41" s="29"/>
      <c r="F41" s="67">
        <f>30000-30000</f>
        <v>0</v>
      </c>
      <c r="G41" s="75"/>
      <c r="H41" s="67"/>
      <c r="I41" s="67"/>
      <c r="J41" s="67"/>
      <c r="K41" s="67"/>
      <c r="L41" s="67"/>
      <c r="M41" s="67"/>
    </row>
    <row r="42" spans="1:13" ht="15" customHeight="1" outlineLevel="7">
      <c r="A42" s="8" t="s">
        <v>91</v>
      </c>
      <c r="B42" s="23"/>
      <c r="C42" s="31"/>
      <c r="D42" s="23"/>
      <c r="E42" s="23"/>
      <c r="F42" s="67">
        <v>6650</v>
      </c>
      <c r="G42" s="66">
        <v>6650</v>
      </c>
      <c r="H42" s="67">
        <v>6000</v>
      </c>
      <c r="I42" s="67">
        <v>6000</v>
      </c>
      <c r="J42" s="67">
        <v>6000</v>
      </c>
      <c r="K42" s="67">
        <v>6000</v>
      </c>
      <c r="L42" s="67">
        <v>6000</v>
      </c>
      <c r="M42" s="67">
        <v>6000</v>
      </c>
    </row>
    <row r="43" spans="1:13" ht="15" customHeight="1" outlineLevel="7">
      <c r="A43" s="8" t="s">
        <v>187</v>
      </c>
      <c r="B43" s="23"/>
      <c r="C43" s="172"/>
      <c r="D43" s="23"/>
      <c r="E43" s="23"/>
      <c r="F43" s="67">
        <f>1600-1600</f>
        <v>0</v>
      </c>
      <c r="G43" s="66"/>
      <c r="H43" s="67"/>
      <c r="I43" s="67"/>
      <c r="J43" s="67"/>
      <c r="K43" s="67"/>
      <c r="L43" s="67"/>
      <c r="M43" s="67"/>
    </row>
    <row r="44" spans="1:13" outlineLevel="7">
      <c r="A44" s="8" t="s">
        <v>236</v>
      </c>
      <c r="B44" s="23"/>
      <c r="C44" s="24"/>
      <c r="D44" s="23"/>
      <c r="E44" s="23"/>
      <c r="F44" s="67">
        <f>2715-2715</f>
        <v>0</v>
      </c>
      <c r="G44" s="66"/>
      <c r="H44" s="67">
        <v>6408</v>
      </c>
      <c r="I44" s="67">
        <v>6408</v>
      </c>
      <c r="J44" s="67">
        <v>6408</v>
      </c>
      <c r="K44" s="67">
        <v>6408</v>
      </c>
      <c r="L44" s="67">
        <v>6408</v>
      </c>
      <c r="M44" s="67">
        <v>6408</v>
      </c>
    </row>
    <row r="45" spans="1:13" outlineLevel="7">
      <c r="A45" s="11" t="s">
        <v>88</v>
      </c>
      <c r="B45" s="29"/>
      <c r="C45" s="30"/>
      <c r="D45" s="29"/>
      <c r="E45" s="29"/>
      <c r="F45" s="67"/>
      <c r="G45" s="75"/>
      <c r="H45" s="67"/>
      <c r="I45" s="67"/>
      <c r="J45" s="67"/>
      <c r="K45" s="67"/>
      <c r="L45" s="67"/>
      <c r="M45" s="67"/>
    </row>
    <row r="46" spans="1:13" outlineLevel="7">
      <c r="A46" s="10" t="s">
        <v>237</v>
      </c>
      <c r="B46" s="27"/>
      <c r="C46" s="28"/>
      <c r="D46" s="27"/>
      <c r="E46" s="27"/>
      <c r="F46" s="67">
        <v>8524</v>
      </c>
      <c r="G46" s="75"/>
      <c r="H46" s="67">
        <v>10936</v>
      </c>
      <c r="I46" s="67">
        <v>10936</v>
      </c>
      <c r="J46" s="67">
        <v>10936</v>
      </c>
      <c r="K46" s="67">
        <v>10936</v>
      </c>
      <c r="L46" s="67">
        <v>10936</v>
      </c>
      <c r="M46" s="67">
        <v>10936</v>
      </c>
    </row>
    <row r="47" spans="1:13" outlineLevel="7">
      <c r="A47" s="10" t="s">
        <v>83</v>
      </c>
      <c r="B47" s="27"/>
      <c r="C47" s="28"/>
      <c r="D47" s="27"/>
      <c r="E47" s="27"/>
      <c r="F47" s="67">
        <f>2600-2600</f>
        <v>0</v>
      </c>
      <c r="G47" s="75"/>
      <c r="H47" s="67"/>
      <c r="I47" s="67"/>
      <c r="J47" s="67"/>
      <c r="K47" s="67"/>
      <c r="L47" s="67"/>
      <c r="M47" s="67"/>
    </row>
    <row r="48" spans="1:13" ht="27.75" customHeight="1" outlineLevel="7">
      <c r="A48" s="10" t="s">
        <v>238</v>
      </c>
      <c r="B48" s="27"/>
      <c r="C48" s="28"/>
      <c r="D48" s="27"/>
      <c r="E48" s="27"/>
      <c r="F48" s="67">
        <v>16000</v>
      </c>
      <c r="G48" s="75">
        <v>9325</v>
      </c>
      <c r="H48" s="67">
        <v>13200</v>
      </c>
      <c r="I48" s="67">
        <v>13200</v>
      </c>
      <c r="J48" s="67">
        <v>13200</v>
      </c>
      <c r="K48" s="67">
        <v>13200</v>
      </c>
      <c r="L48" s="67">
        <v>13200</v>
      </c>
      <c r="M48" s="67">
        <v>13200</v>
      </c>
    </row>
    <row r="49" spans="1:13" outlineLevel="7">
      <c r="A49" s="10" t="s">
        <v>239</v>
      </c>
      <c r="B49" s="27"/>
      <c r="C49" s="28"/>
      <c r="D49" s="27"/>
      <c r="E49" s="27"/>
      <c r="F49" s="67">
        <f>15000-15000</f>
        <v>0</v>
      </c>
      <c r="G49" s="75"/>
      <c r="H49" s="67">
        <v>24000</v>
      </c>
      <c r="I49" s="67"/>
      <c r="J49" s="67"/>
      <c r="K49" s="67">
        <v>24000</v>
      </c>
      <c r="L49" s="67"/>
      <c r="M49" s="67"/>
    </row>
    <row r="50" spans="1:13" ht="13.5" customHeight="1" outlineLevel="7">
      <c r="A50" s="10" t="s">
        <v>267</v>
      </c>
      <c r="B50" s="27"/>
      <c r="C50" s="28"/>
      <c r="D50" s="27"/>
      <c r="E50" s="27"/>
      <c r="F50" s="75">
        <v>5062.43</v>
      </c>
      <c r="G50" s="75">
        <v>5062.43</v>
      </c>
      <c r="H50" s="67"/>
      <c r="I50" s="67"/>
      <c r="J50" s="67"/>
      <c r="K50" s="67"/>
      <c r="L50" s="67"/>
      <c r="M50" s="67"/>
    </row>
    <row r="51" spans="1:13" outlineLevel="7">
      <c r="A51" s="10" t="s">
        <v>266</v>
      </c>
      <c r="B51" s="27"/>
      <c r="C51" s="28"/>
      <c r="D51" s="27"/>
      <c r="E51" s="27"/>
      <c r="F51" s="75">
        <v>100328</v>
      </c>
      <c r="G51" s="75">
        <v>100328</v>
      </c>
      <c r="H51" s="67"/>
      <c r="I51" s="67"/>
      <c r="J51" s="67"/>
      <c r="K51" s="67"/>
      <c r="L51" s="67"/>
      <c r="M51" s="67"/>
    </row>
    <row r="52" spans="1:13" outlineLevel="7">
      <c r="A52" s="8" t="s">
        <v>240</v>
      </c>
      <c r="B52" s="23"/>
      <c r="C52" s="24"/>
      <c r="D52" s="23"/>
      <c r="E52" s="23"/>
      <c r="F52" s="67">
        <v>10135</v>
      </c>
      <c r="G52" s="67">
        <v>10135</v>
      </c>
      <c r="H52" s="67">
        <v>12000</v>
      </c>
      <c r="I52" s="67">
        <v>12000</v>
      </c>
      <c r="J52" s="67">
        <v>12000</v>
      </c>
      <c r="K52" s="67">
        <v>12000</v>
      </c>
      <c r="L52" s="67">
        <v>12000</v>
      </c>
      <c r="M52" s="67">
        <v>12000</v>
      </c>
    </row>
    <row r="53" spans="1:13" outlineLevel="7">
      <c r="A53" s="8" t="s">
        <v>241</v>
      </c>
      <c r="B53" s="23"/>
      <c r="C53" s="24"/>
      <c r="D53" s="23"/>
      <c r="E53" s="23"/>
      <c r="F53" s="67">
        <v>2000</v>
      </c>
      <c r="G53" s="67">
        <v>2000</v>
      </c>
      <c r="H53" s="67">
        <v>6000</v>
      </c>
      <c r="I53" s="67">
        <v>6000</v>
      </c>
      <c r="J53" s="67">
        <v>6000</v>
      </c>
      <c r="K53" s="67">
        <v>6000</v>
      </c>
      <c r="L53" s="67">
        <v>6000</v>
      </c>
      <c r="M53" s="67">
        <v>6000</v>
      </c>
    </row>
    <row r="54" spans="1:13" ht="25.5" outlineLevel="7">
      <c r="A54" s="195" t="s">
        <v>234</v>
      </c>
      <c r="B54" s="35" t="s">
        <v>17</v>
      </c>
      <c r="C54" s="87" t="s">
        <v>107</v>
      </c>
      <c r="D54" s="35" t="s">
        <v>243</v>
      </c>
      <c r="E54" s="35" t="s">
        <v>58</v>
      </c>
      <c r="F54" s="196">
        <f>70722-4317.74</f>
        <v>66404.259999999995</v>
      </c>
      <c r="G54" s="73">
        <f>7062.11</f>
        <v>7062.11</v>
      </c>
      <c r="H54" s="196">
        <v>27694</v>
      </c>
      <c r="I54" s="196">
        <v>27694</v>
      </c>
      <c r="J54" s="196">
        <v>27694</v>
      </c>
      <c r="K54" s="196">
        <v>27694</v>
      </c>
      <c r="L54" s="196">
        <v>27694</v>
      </c>
      <c r="M54" s="196">
        <v>27694</v>
      </c>
    </row>
    <row r="55" spans="1:13" outlineLevel="7">
      <c r="A55" s="4" t="s">
        <v>92</v>
      </c>
      <c r="B55" s="19" t="s">
        <v>17</v>
      </c>
      <c r="C55" s="87" t="s">
        <v>107</v>
      </c>
      <c r="D55" s="19" t="s">
        <v>24</v>
      </c>
      <c r="E55" s="19" t="s">
        <v>58</v>
      </c>
      <c r="F55" s="65">
        <v>1000</v>
      </c>
      <c r="G55" s="65"/>
      <c r="H55" s="65">
        <v>1000</v>
      </c>
      <c r="I55" s="65">
        <v>1000</v>
      </c>
      <c r="J55" s="65">
        <v>1000</v>
      </c>
      <c r="K55" s="65">
        <v>1000</v>
      </c>
      <c r="L55" s="65">
        <v>1000</v>
      </c>
      <c r="M55" s="65">
        <v>1000</v>
      </c>
    </row>
    <row r="56" spans="1:13" outlineLevel="7">
      <c r="A56" s="49"/>
      <c r="B56" s="50" t="s">
        <v>17</v>
      </c>
      <c r="C56" s="87" t="s">
        <v>107</v>
      </c>
      <c r="D56" s="50" t="s">
        <v>26</v>
      </c>
      <c r="E56" s="50" t="s">
        <v>58</v>
      </c>
      <c r="F56" s="69">
        <f>SUM(F57:F59)</f>
        <v>2634</v>
      </c>
      <c r="G56" s="69">
        <f t="shared" ref="G56:J56" si="30">SUM(G57:G59)</f>
        <v>1157.9000000000001</v>
      </c>
      <c r="H56" s="69">
        <f t="shared" si="30"/>
        <v>2598</v>
      </c>
      <c r="I56" s="69">
        <f t="shared" si="30"/>
        <v>2598</v>
      </c>
      <c r="J56" s="69">
        <f t="shared" si="30"/>
        <v>2598</v>
      </c>
      <c r="K56" s="69">
        <f t="shared" ref="K56:M56" si="31">SUM(K57:K59)</f>
        <v>2598</v>
      </c>
      <c r="L56" s="69">
        <f t="shared" si="31"/>
        <v>2598</v>
      </c>
      <c r="M56" s="69">
        <f t="shared" si="31"/>
        <v>2598</v>
      </c>
    </row>
    <row r="57" spans="1:13" outlineLevel="7">
      <c r="A57" s="54" t="s">
        <v>25</v>
      </c>
      <c r="B57" s="55"/>
      <c r="C57" s="31"/>
      <c r="D57" s="55"/>
      <c r="E57" s="55"/>
      <c r="F57" s="70">
        <f>1010+133</f>
        <v>1143</v>
      </c>
      <c r="G57" s="70">
        <v>1143</v>
      </c>
      <c r="H57" s="70">
        <v>1143</v>
      </c>
      <c r="I57" s="70">
        <v>1143</v>
      </c>
      <c r="J57" s="70">
        <v>1143</v>
      </c>
      <c r="K57" s="70">
        <v>1143</v>
      </c>
      <c r="L57" s="70">
        <v>1143</v>
      </c>
      <c r="M57" s="70">
        <v>1143</v>
      </c>
    </row>
    <row r="58" spans="1:13" outlineLevel="7">
      <c r="A58" s="54" t="s">
        <v>93</v>
      </c>
      <c r="B58" s="55"/>
      <c r="C58" s="31"/>
      <c r="D58" s="55"/>
      <c r="E58" s="55"/>
      <c r="F58" s="70">
        <f>1000-133</f>
        <v>867</v>
      </c>
      <c r="G58" s="70">
        <v>14.9</v>
      </c>
      <c r="H58" s="70">
        <v>1000</v>
      </c>
      <c r="I58" s="70">
        <v>1000</v>
      </c>
      <c r="J58" s="70">
        <v>1000</v>
      </c>
      <c r="K58" s="70">
        <v>1000</v>
      </c>
      <c r="L58" s="70">
        <v>1000</v>
      </c>
      <c r="M58" s="70">
        <v>1000</v>
      </c>
    </row>
    <row r="59" spans="1:13" outlineLevel="7">
      <c r="A59" s="54" t="s">
        <v>98</v>
      </c>
      <c r="B59" s="55"/>
      <c r="C59" s="31"/>
      <c r="D59" s="55"/>
      <c r="E59" s="55"/>
      <c r="F59" s="70">
        <v>624</v>
      </c>
      <c r="G59" s="70"/>
      <c r="H59" s="70">
        <v>455</v>
      </c>
      <c r="I59" s="70">
        <v>455</v>
      </c>
      <c r="J59" s="70">
        <v>455</v>
      </c>
      <c r="K59" s="70">
        <v>455</v>
      </c>
      <c r="L59" s="70">
        <v>455</v>
      </c>
      <c r="M59" s="70">
        <v>455</v>
      </c>
    </row>
    <row r="60" spans="1:13" ht="25.5" outlineLevel="7">
      <c r="A60" s="139" t="s">
        <v>40</v>
      </c>
      <c r="B60" s="140"/>
      <c r="C60" s="141"/>
      <c r="D60" s="142"/>
      <c r="E60" s="142"/>
      <c r="F60" s="62">
        <f>SUM(F61:F69)</f>
        <v>372382</v>
      </c>
      <c r="G60" s="62">
        <f t="shared" ref="G60:J60" si="32">SUM(G61:G69)</f>
        <v>213411</v>
      </c>
      <c r="H60" s="62">
        <f t="shared" si="32"/>
        <v>689633</v>
      </c>
      <c r="I60" s="62">
        <f t="shared" si="32"/>
        <v>681579</v>
      </c>
      <c r="J60" s="62">
        <f t="shared" si="32"/>
        <v>680915</v>
      </c>
      <c r="K60" s="62">
        <f t="shared" ref="K60:M60" si="33">SUM(K61:K69)</f>
        <v>689633</v>
      </c>
      <c r="L60" s="62">
        <f t="shared" si="33"/>
        <v>681579</v>
      </c>
      <c r="M60" s="62">
        <f t="shared" si="33"/>
        <v>680915</v>
      </c>
    </row>
    <row r="61" spans="1:13" ht="38.25" outlineLevel="7">
      <c r="A61" s="8" t="s">
        <v>131</v>
      </c>
      <c r="B61" s="23" t="s">
        <v>42</v>
      </c>
      <c r="C61" s="31" t="s">
        <v>115</v>
      </c>
      <c r="D61" s="23" t="s">
        <v>41</v>
      </c>
      <c r="E61" s="23" t="s">
        <v>58</v>
      </c>
      <c r="F61" s="66">
        <v>37000</v>
      </c>
      <c r="G61" s="66">
        <v>37000</v>
      </c>
      <c r="H61" s="66">
        <v>51605</v>
      </c>
      <c r="I61" s="66">
        <v>50593</v>
      </c>
      <c r="J61" s="66">
        <v>49929</v>
      </c>
      <c r="K61" s="66">
        <v>51605</v>
      </c>
      <c r="L61" s="66">
        <v>50593</v>
      </c>
      <c r="M61" s="66">
        <v>49929</v>
      </c>
    </row>
    <row r="62" spans="1:13" ht="38.25" outlineLevel="7">
      <c r="A62" s="8" t="s">
        <v>132</v>
      </c>
      <c r="B62" s="23" t="s">
        <v>30</v>
      </c>
      <c r="C62" s="31" t="s">
        <v>115</v>
      </c>
      <c r="D62" s="23" t="s">
        <v>41</v>
      </c>
      <c r="E62" s="23" t="s">
        <v>58</v>
      </c>
      <c r="F62" s="66">
        <v>195000</v>
      </c>
      <c r="G62" s="66">
        <v>130000</v>
      </c>
      <c r="H62" s="66">
        <v>221934</v>
      </c>
      <c r="I62" s="66">
        <v>216148</v>
      </c>
      <c r="J62" s="66">
        <v>216148</v>
      </c>
      <c r="K62" s="66">
        <v>221934</v>
      </c>
      <c r="L62" s="66">
        <v>216148</v>
      </c>
      <c r="M62" s="66">
        <v>216148</v>
      </c>
    </row>
    <row r="63" spans="1:13" ht="25.5" outlineLevel="7">
      <c r="A63" s="8" t="s">
        <v>76</v>
      </c>
      <c r="B63" s="23" t="s">
        <v>30</v>
      </c>
      <c r="C63" s="31" t="s">
        <v>116</v>
      </c>
      <c r="D63" s="23" t="s">
        <v>41</v>
      </c>
      <c r="E63" s="23" t="s">
        <v>58</v>
      </c>
      <c r="F63" s="66">
        <v>25000</v>
      </c>
      <c r="G63" s="66">
        <v>25000</v>
      </c>
      <c r="H63" s="66">
        <v>26794</v>
      </c>
      <c r="I63" s="66">
        <v>25538</v>
      </c>
      <c r="J63" s="66">
        <v>25538</v>
      </c>
      <c r="K63" s="66">
        <v>26794</v>
      </c>
      <c r="L63" s="66">
        <v>25538</v>
      </c>
      <c r="M63" s="66">
        <v>25538</v>
      </c>
    </row>
    <row r="64" spans="1:13" ht="38.25" outlineLevel="7">
      <c r="A64" s="8" t="s">
        <v>133</v>
      </c>
      <c r="B64" s="23" t="s">
        <v>30</v>
      </c>
      <c r="C64" s="31" t="s">
        <v>117</v>
      </c>
      <c r="D64" s="23" t="s">
        <v>41</v>
      </c>
      <c r="E64" s="23" t="s">
        <v>58</v>
      </c>
      <c r="F64" s="66">
        <v>2400</v>
      </c>
      <c r="G64" s="66">
        <v>2400</v>
      </c>
      <c r="H64" s="66">
        <v>2424</v>
      </c>
      <c r="I64" s="66">
        <v>2424</v>
      </c>
      <c r="J64" s="66">
        <v>2424</v>
      </c>
      <c r="K64" s="66">
        <v>2424</v>
      </c>
      <c r="L64" s="66">
        <v>2424</v>
      </c>
      <c r="M64" s="66">
        <v>2424</v>
      </c>
    </row>
    <row r="65" spans="1:13" ht="27" customHeight="1" outlineLevel="7">
      <c r="A65" s="8" t="s">
        <v>77</v>
      </c>
      <c r="B65" s="23" t="s">
        <v>43</v>
      </c>
      <c r="C65" s="31" t="s">
        <v>118</v>
      </c>
      <c r="D65" s="23" t="s">
        <v>41</v>
      </c>
      <c r="E65" s="23" t="s">
        <v>58</v>
      </c>
      <c r="F65" s="66"/>
      <c r="G65" s="66"/>
      <c r="H65" s="66">
        <v>8176</v>
      </c>
      <c r="I65" s="66">
        <v>8176</v>
      </c>
      <c r="J65" s="66">
        <v>8176</v>
      </c>
      <c r="K65" s="66">
        <v>8176</v>
      </c>
      <c r="L65" s="66">
        <v>8176</v>
      </c>
      <c r="M65" s="66">
        <v>8176</v>
      </c>
    </row>
    <row r="66" spans="1:13" outlineLevel="7">
      <c r="A66" s="96" t="s">
        <v>90</v>
      </c>
      <c r="B66" s="23" t="s">
        <v>12</v>
      </c>
      <c r="C66" s="31" t="s">
        <v>113</v>
      </c>
      <c r="D66" s="23" t="s">
        <v>41</v>
      </c>
      <c r="E66" s="23" t="s">
        <v>58</v>
      </c>
      <c r="F66" s="94">
        <v>4424</v>
      </c>
      <c r="G66" s="94">
        <v>4424</v>
      </c>
      <c r="H66" s="94">
        <v>5592</v>
      </c>
      <c r="I66" s="94">
        <v>5592</v>
      </c>
      <c r="J66" s="94">
        <v>5592</v>
      </c>
      <c r="K66" s="94">
        <v>5592</v>
      </c>
      <c r="L66" s="94">
        <v>5592</v>
      </c>
      <c r="M66" s="94">
        <v>5592</v>
      </c>
    </row>
    <row r="67" spans="1:13" ht="25.5" outlineLevel="7">
      <c r="A67" s="8" t="s">
        <v>78</v>
      </c>
      <c r="B67" s="23" t="s">
        <v>39</v>
      </c>
      <c r="C67" s="31" t="s">
        <v>119</v>
      </c>
      <c r="D67" s="23" t="s">
        <v>41</v>
      </c>
      <c r="E67" s="23" t="s">
        <v>58</v>
      </c>
      <c r="F67" s="94">
        <v>101240</v>
      </c>
      <c r="G67" s="94">
        <v>7269</v>
      </c>
      <c r="H67" s="94">
        <v>323365</v>
      </c>
      <c r="I67" s="94">
        <v>323365</v>
      </c>
      <c r="J67" s="94">
        <v>323365</v>
      </c>
      <c r="K67" s="94">
        <v>323365</v>
      </c>
      <c r="L67" s="94">
        <v>323365</v>
      </c>
      <c r="M67" s="94">
        <v>323365</v>
      </c>
    </row>
    <row r="68" spans="1:13" ht="38.25" outlineLevel="7">
      <c r="A68" s="97" t="s">
        <v>79</v>
      </c>
      <c r="B68" s="98" t="s">
        <v>44</v>
      </c>
      <c r="C68" s="99" t="s">
        <v>120</v>
      </c>
      <c r="D68" s="98" t="s">
        <v>41</v>
      </c>
      <c r="E68" s="98" t="s">
        <v>58</v>
      </c>
      <c r="F68" s="94">
        <v>7318</v>
      </c>
      <c r="G68" s="94">
        <v>7318</v>
      </c>
      <c r="H68" s="94">
        <v>49743</v>
      </c>
      <c r="I68" s="94">
        <v>49743</v>
      </c>
      <c r="J68" s="94">
        <v>49743</v>
      </c>
      <c r="K68" s="94">
        <v>49743</v>
      </c>
      <c r="L68" s="94">
        <v>49743</v>
      </c>
      <c r="M68" s="94">
        <v>49743</v>
      </c>
    </row>
    <row r="69" spans="1:13" outlineLevel="7">
      <c r="A69" s="54" t="s">
        <v>114</v>
      </c>
      <c r="B69" s="100" t="s">
        <v>30</v>
      </c>
      <c r="C69" s="31" t="s">
        <v>121</v>
      </c>
      <c r="D69" s="101" t="s">
        <v>41</v>
      </c>
      <c r="E69" s="23" t="s">
        <v>58</v>
      </c>
      <c r="F69" s="94">
        <v>0</v>
      </c>
      <c r="G69" s="94">
        <v>0</v>
      </c>
      <c r="H69" s="94"/>
      <c r="I69" s="67"/>
      <c r="J69" s="67"/>
      <c r="K69" s="94"/>
      <c r="L69" s="67"/>
      <c r="M69" s="67"/>
    </row>
    <row r="70" spans="1:13" outlineLevel="4">
      <c r="A70" s="156" t="s">
        <v>178</v>
      </c>
      <c r="B70" s="17" t="s">
        <v>28</v>
      </c>
      <c r="C70" s="158" t="s">
        <v>112</v>
      </c>
      <c r="D70" s="17" t="s">
        <v>29</v>
      </c>
      <c r="E70" s="17" t="s">
        <v>58</v>
      </c>
      <c r="F70" s="157">
        <f t="shared" ref="F70:J70" si="34">SUM(F71:F72)</f>
        <v>11000</v>
      </c>
      <c r="G70" s="157">
        <f t="shared" si="34"/>
        <v>0</v>
      </c>
      <c r="H70" s="157">
        <f t="shared" si="34"/>
        <v>11000</v>
      </c>
      <c r="I70" s="157">
        <f t="shared" si="34"/>
        <v>11000</v>
      </c>
      <c r="J70" s="157">
        <f t="shared" si="34"/>
        <v>11000</v>
      </c>
      <c r="K70" s="157">
        <f t="shared" ref="K70:M70" si="35">SUM(K71:K72)</f>
        <v>11000</v>
      </c>
      <c r="L70" s="157">
        <f t="shared" si="35"/>
        <v>11000</v>
      </c>
      <c r="M70" s="157">
        <f t="shared" si="35"/>
        <v>11000</v>
      </c>
    </row>
    <row r="71" spans="1:13" ht="28.5" customHeight="1" outlineLevel="4">
      <c r="A71" s="54" t="s">
        <v>179</v>
      </c>
      <c r="B71" s="119"/>
      <c r="C71" s="123"/>
      <c r="D71" s="121"/>
      <c r="E71" s="17"/>
      <c r="F71" s="67">
        <v>6000</v>
      </c>
      <c r="G71" s="66"/>
      <c r="H71" s="67">
        <v>6000</v>
      </c>
      <c r="I71" s="67">
        <v>6000</v>
      </c>
      <c r="J71" s="67">
        <v>6000</v>
      </c>
      <c r="K71" s="67">
        <v>6000</v>
      </c>
      <c r="L71" s="67">
        <v>6000</v>
      </c>
      <c r="M71" s="67">
        <v>6000</v>
      </c>
    </row>
    <row r="72" spans="1:13" outlineLevel="4">
      <c r="A72" s="54" t="s">
        <v>180</v>
      </c>
      <c r="B72" s="119"/>
      <c r="C72" s="123"/>
      <c r="D72" s="121"/>
      <c r="E72" s="17"/>
      <c r="F72" s="67">
        <v>5000</v>
      </c>
      <c r="G72" s="66"/>
      <c r="H72" s="67">
        <v>5000</v>
      </c>
      <c r="I72" s="67">
        <v>5000</v>
      </c>
      <c r="J72" s="67">
        <v>5000</v>
      </c>
      <c r="K72" s="67">
        <v>5000</v>
      </c>
      <c r="L72" s="67">
        <v>5000</v>
      </c>
      <c r="M72" s="67">
        <v>5000</v>
      </c>
    </row>
    <row r="73" spans="1:13" ht="25.5" outlineLevel="4">
      <c r="A73" s="7" t="s">
        <v>70</v>
      </c>
      <c r="B73" s="17"/>
      <c r="C73" s="21" t="s">
        <v>111</v>
      </c>
      <c r="D73" s="17" t="s">
        <v>22</v>
      </c>
      <c r="E73" s="17" t="s">
        <v>58</v>
      </c>
      <c r="F73" s="72">
        <f>SUM(F74:F77)</f>
        <v>8000</v>
      </c>
      <c r="G73" s="72">
        <f t="shared" ref="G73:J73" si="36">SUM(G74:G77)</f>
        <v>0</v>
      </c>
      <c r="H73" s="72">
        <f t="shared" si="36"/>
        <v>8000</v>
      </c>
      <c r="I73" s="72">
        <f t="shared" si="36"/>
        <v>222223</v>
      </c>
      <c r="J73" s="72">
        <f t="shared" si="36"/>
        <v>0</v>
      </c>
      <c r="K73" s="72">
        <f t="shared" ref="K73:M73" si="37">SUM(K74:K77)</f>
        <v>8000</v>
      </c>
      <c r="L73" s="72">
        <f t="shared" si="37"/>
        <v>222223</v>
      </c>
      <c r="M73" s="72">
        <f t="shared" si="37"/>
        <v>0</v>
      </c>
    </row>
    <row r="74" spans="1:13" ht="38.25" outlineLevel="4">
      <c r="A74" s="8" t="s">
        <v>190</v>
      </c>
      <c r="B74" s="23" t="s">
        <v>32</v>
      </c>
      <c r="C74" s="31" t="s">
        <v>111</v>
      </c>
      <c r="D74" s="23" t="s">
        <v>22</v>
      </c>
      <c r="E74" s="23" t="s">
        <v>58</v>
      </c>
      <c r="F74" s="67">
        <v>8000</v>
      </c>
      <c r="G74" s="66"/>
      <c r="H74" s="67">
        <v>8000</v>
      </c>
      <c r="I74" s="67"/>
      <c r="J74" s="67"/>
      <c r="K74" s="67">
        <v>8000</v>
      </c>
      <c r="L74" s="67"/>
      <c r="M74" s="67"/>
    </row>
    <row r="75" spans="1:13" outlineLevel="4">
      <c r="A75" s="8"/>
      <c r="B75" s="23" t="s">
        <v>30</v>
      </c>
      <c r="C75" s="31" t="s">
        <v>111</v>
      </c>
      <c r="D75" s="23" t="s">
        <v>22</v>
      </c>
      <c r="E75" s="23" t="s">
        <v>58</v>
      </c>
      <c r="F75" s="67"/>
      <c r="G75" s="66"/>
      <c r="H75" s="67"/>
      <c r="I75" s="67"/>
      <c r="J75" s="67"/>
      <c r="K75" s="67"/>
      <c r="L75" s="67"/>
      <c r="M75" s="67"/>
    </row>
    <row r="76" spans="1:13" ht="25.5" outlineLevel="4">
      <c r="A76" s="8" t="s">
        <v>203</v>
      </c>
      <c r="B76" s="23" t="s">
        <v>32</v>
      </c>
      <c r="C76" s="31" t="s">
        <v>204</v>
      </c>
      <c r="D76" s="23" t="s">
        <v>22</v>
      </c>
      <c r="E76" s="23" t="s">
        <v>176</v>
      </c>
      <c r="F76" s="67"/>
      <c r="G76" s="66"/>
      <c r="H76" s="67"/>
      <c r="I76" s="197">
        <v>200000</v>
      </c>
      <c r="J76" s="67"/>
      <c r="K76" s="67"/>
      <c r="L76" s="197">
        <v>200000</v>
      </c>
      <c r="M76" s="67"/>
    </row>
    <row r="77" spans="1:13" outlineLevel="4">
      <c r="A77" s="8" t="s">
        <v>205</v>
      </c>
      <c r="B77" s="23" t="s">
        <v>32</v>
      </c>
      <c r="C77" s="31" t="s">
        <v>204</v>
      </c>
      <c r="D77" s="23" t="s">
        <v>22</v>
      </c>
      <c r="E77" s="23" t="s">
        <v>82</v>
      </c>
      <c r="F77" s="67"/>
      <c r="G77" s="66"/>
      <c r="H77" s="67"/>
      <c r="I77" s="197">
        <v>22223</v>
      </c>
      <c r="J77" s="67"/>
      <c r="K77" s="67"/>
      <c r="L77" s="197">
        <v>22223</v>
      </c>
      <c r="M77" s="67"/>
    </row>
    <row r="78" spans="1:13" outlineLevel="4">
      <c r="A78" s="7" t="s">
        <v>73</v>
      </c>
      <c r="B78" s="17" t="s">
        <v>30</v>
      </c>
      <c r="C78" s="21" t="s">
        <v>122</v>
      </c>
      <c r="D78" s="17" t="s">
        <v>22</v>
      </c>
      <c r="E78" s="17" t="s">
        <v>58</v>
      </c>
      <c r="F78" s="62">
        <f t="shared" ref="F78:J78" si="38">SUM(F79:F80)</f>
        <v>0</v>
      </c>
      <c r="G78" s="62">
        <f t="shared" si="38"/>
        <v>0</v>
      </c>
      <c r="H78" s="62">
        <f t="shared" si="38"/>
        <v>1000</v>
      </c>
      <c r="I78" s="62">
        <f t="shared" si="38"/>
        <v>1000</v>
      </c>
      <c r="J78" s="62">
        <f t="shared" si="38"/>
        <v>1000</v>
      </c>
      <c r="K78" s="62">
        <f t="shared" ref="K78:M78" si="39">SUM(K79:K80)</f>
        <v>1000</v>
      </c>
      <c r="L78" s="62">
        <f t="shared" si="39"/>
        <v>1000</v>
      </c>
      <c r="M78" s="62">
        <f t="shared" si="39"/>
        <v>1000</v>
      </c>
    </row>
    <row r="79" spans="1:13" ht="25.5" outlineLevel="4">
      <c r="A79" s="8" t="s">
        <v>181</v>
      </c>
      <c r="B79" s="23"/>
      <c r="C79" s="31"/>
      <c r="D79" s="23"/>
      <c r="E79" s="23"/>
      <c r="F79" s="66"/>
      <c r="G79" s="66"/>
      <c r="H79" s="66">
        <v>1000</v>
      </c>
      <c r="I79" s="66">
        <v>1000</v>
      </c>
      <c r="J79" s="66">
        <v>1000</v>
      </c>
      <c r="K79" s="66">
        <v>1000</v>
      </c>
      <c r="L79" s="66">
        <v>1000</v>
      </c>
      <c r="M79" s="66">
        <v>1000</v>
      </c>
    </row>
    <row r="80" spans="1:13" outlineLevel="4">
      <c r="A80" s="8"/>
      <c r="B80" s="23"/>
      <c r="C80" s="31"/>
      <c r="D80" s="23"/>
      <c r="E80" s="23"/>
      <c r="F80" s="66"/>
      <c r="G80" s="66"/>
      <c r="H80" s="66"/>
      <c r="I80" s="66"/>
      <c r="J80" s="66"/>
      <c r="K80" s="66"/>
      <c r="L80" s="66"/>
      <c r="M80" s="66"/>
    </row>
    <row r="81" spans="1:13" outlineLevel="4">
      <c r="A81" s="7" t="s">
        <v>71</v>
      </c>
      <c r="B81" s="17" t="s">
        <v>30</v>
      </c>
      <c r="C81" s="21" t="s">
        <v>123</v>
      </c>
      <c r="D81" s="17" t="s">
        <v>22</v>
      </c>
      <c r="E81" s="17" t="s">
        <v>58</v>
      </c>
      <c r="F81" s="62">
        <v>20000</v>
      </c>
      <c r="G81" s="62">
        <v>5484</v>
      </c>
      <c r="H81" s="62">
        <v>20000</v>
      </c>
      <c r="I81" s="62">
        <v>20000</v>
      </c>
      <c r="J81" s="62">
        <v>20000</v>
      </c>
      <c r="K81" s="62">
        <v>20000</v>
      </c>
      <c r="L81" s="62">
        <v>20000</v>
      </c>
      <c r="M81" s="62">
        <v>20000</v>
      </c>
    </row>
    <row r="82" spans="1:13" ht="15.75" customHeight="1" outlineLevel="4">
      <c r="A82" s="51" t="s">
        <v>110</v>
      </c>
      <c r="B82" s="52" t="s">
        <v>27</v>
      </c>
      <c r="C82" s="53" t="s">
        <v>109</v>
      </c>
      <c r="D82" s="52" t="s">
        <v>242</v>
      </c>
      <c r="E82" s="52" t="s">
        <v>58</v>
      </c>
      <c r="F82" s="62">
        <v>65000</v>
      </c>
      <c r="G82" s="62">
        <v>65000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</row>
    <row r="83" spans="1:13" ht="15.75" customHeight="1" outlineLevel="4">
      <c r="A83" s="156" t="s">
        <v>126</v>
      </c>
      <c r="B83" s="126" t="s">
        <v>30</v>
      </c>
      <c r="C83" s="56" t="s">
        <v>125</v>
      </c>
      <c r="D83" s="126" t="s">
        <v>29</v>
      </c>
      <c r="E83" s="126" t="s">
        <v>58</v>
      </c>
      <c r="F83" s="62">
        <f t="shared" ref="F83:J83" si="40">SUM(F84:F85)</f>
        <v>7109</v>
      </c>
      <c r="G83" s="62">
        <f t="shared" si="40"/>
        <v>0</v>
      </c>
      <c r="H83" s="62">
        <f t="shared" si="40"/>
        <v>7109</v>
      </c>
      <c r="I83" s="62">
        <f t="shared" si="40"/>
        <v>7109</v>
      </c>
      <c r="J83" s="62">
        <f t="shared" si="40"/>
        <v>7109</v>
      </c>
      <c r="K83" s="62">
        <f t="shared" ref="K83:M83" si="41">SUM(K84:K85)</f>
        <v>7109</v>
      </c>
      <c r="L83" s="62">
        <f t="shared" si="41"/>
        <v>7109</v>
      </c>
      <c r="M83" s="62">
        <f t="shared" si="41"/>
        <v>7109</v>
      </c>
    </row>
    <row r="84" spans="1:13" ht="15.75" customHeight="1" outlineLevel="4">
      <c r="A84" s="201" t="s">
        <v>197</v>
      </c>
      <c r="B84" s="100"/>
      <c r="C84" s="31"/>
      <c r="D84" s="100"/>
      <c r="E84" s="100"/>
      <c r="F84" s="162">
        <v>7109</v>
      </c>
      <c r="G84" s="162"/>
      <c r="H84" s="200">
        <v>7109</v>
      </c>
      <c r="I84" s="200">
        <v>7109</v>
      </c>
      <c r="J84" s="200">
        <v>7109</v>
      </c>
      <c r="K84" s="200">
        <v>7109</v>
      </c>
      <c r="L84" s="200">
        <v>7109</v>
      </c>
      <c r="M84" s="200">
        <v>7109</v>
      </c>
    </row>
    <row r="85" spans="1:13" ht="15.75" customHeight="1" outlineLevel="4">
      <c r="A85" s="54"/>
      <c r="B85" s="100"/>
      <c r="C85" s="31"/>
      <c r="D85" s="100"/>
      <c r="E85" s="100"/>
      <c r="F85" s="162"/>
      <c r="G85" s="162"/>
      <c r="H85" s="162"/>
      <c r="I85" s="162"/>
      <c r="J85" s="162"/>
      <c r="K85" s="162"/>
      <c r="L85" s="162"/>
      <c r="M85" s="162"/>
    </row>
    <row r="86" spans="1:13" ht="15.75" customHeight="1" outlineLevel="4">
      <c r="A86" s="159" t="s">
        <v>165</v>
      </c>
      <c r="B86" s="160"/>
      <c r="C86" s="161" t="s">
        <v>167</v>
      </c>
      <c r="D86" s="160" t="s">
        <v>22</v>
      </c>
      <c r="E86" s="160" t="s">
        <v>58</v>
      </c>
      <c r="F86" s="163">
        <f>F87+F88</f>
        <v>120000</v>
      </c>
      <c r="G86" s="163">
        <f t="shared" ref="G86:J86" si="42">G87+G88</f>
        <v>19176</v>
      </c>
      <c r="H86" s="163">
        <f t="shared" si="42"/>
        <v>20000</v>
      </c>
      <c r="I86" s="163">
        <f t="shared" si="42"/>
        <v>20000</v>
      </c>
      <c r="J86" s="163">
        <f t="shared" si="42"/>
        <v>20000</v>
      </c>
      <c r="K86" s="163">
        <f t="shared" ref="K86:M86" si="43">K87+K88</f>
        <v>20000</v>
      </c>
      <c r="L86" s="163">
        <f t="shared" si="43"/>
        <v>20000</v>
      </c>
      <c r="M86" s="163">
        <f t="shared" si="43"/>
        <v>20000</v>
      </c>
    </row>
    <row r="87" spans="1:13" ht="15.75" customHeight="1" outlineLevel="4">
      <c r="A87" s="54" t="s">
        <v>166</v>
      </c>
      <c r="B87" s="100" t="s">
        <v>39</v>
      </c>
      <c r="C87" s="99" t="s">
        <v>167</v>
      </c>
      <c r="D87" s="100" t="s">
        <v>22</v>
      </c>
      <c r="E87" s="100" t="s">
        <v>58</v>
      </c>
      <c r="F87" s="70">
        <v>20000</v>
      </c>
      <c r="G87" s="70">
        <v>19176</v>
      </c>
      <c r="H87" s="70">
        <v>20000</v>
      </c>
      <c r="I87" s="70">
        <v>20000</v>
      </c>
      <c r="J87" s="70">
        <v>20000</v>
      </c>
      <c r="K87" s="70">
        <v>20000</v>
      </c>
      <c r="L87" s="70">
        <v>20000</v>
      </c>
      <c r="M87" s="70">
        <v>20000</v>
      </c>
    </row>
    <row r="88" spans="1:13" ht="15.75" customHeight="1" outlineLevel="4">
      <c r="A88" s="54"/>
      <c r="B88" s="100" t="s">
        <v>30</v>
      </c>
      <c r="C88" s="99" t="s">
        <v>167</v>
      </c>
      <c r="D88" s="100" t="s">
        <v>22</v>
      </c>
      <c r="E88" s="100" t="s">
        <v>58</v>
      </c>
      <c r="F88" s="70">
        <v>100000</v>
      </c>
      <c r="G88" s="70"/>
      <c r="H88" s="70"/>
      <c r="I88" s="70"/>
      <c r="J88" s="70"/>
      <c r="K88" s="70"/>
      <c r="L88" s="70"/>
      <c r="M88" s="70"/>
    </row>
    <row r="89" spans="1:13" ht="15.75" customHeight="1" outlineLevel="4">
      <c r="A89" s="198" t="s">
        <v>244</v>
      </c>
      <c r="B89" s="169" t="s">
        <v>30</v>
      </c>
      <c r="C89" s="127" t="s">
        <v>245</v>
      </c>
      <c r="D89" s="169" t="s">
        <v>18</v>
      </c>
      <c r="E89" s="169"/>
      <c r="F89" s="171">
        <f>F90+F91</f>
        <v>52080</v>
      </c>
      <c r="G89" s="171">
        <f t="shared" ref="G89:J89" si="44">G90+G91</f>
        <v>20978.57</v>
      </c>
      <c r="H89" s="171">
        <f t="shared" si="44"/>
        <v>0</v>
      </c>
      <c r="I89" s="171">
        <f t="shared" si="44"/>
        <v>0</v>
      </c>
      <c r="J89" s="171">
        <f t="shared" si="44"/>
        <v>0</v>
      </c>
      <c r="K89" s="171">
        <f t="shared" ref="K89:M89" si="45">K90+K91</f>
        <v>0</v>
      </c>
      <c r="L89" s="171">
        <f t="shared" si="45"/>
        <v>0</v>
      </c>
      <c r="M89" s="171">
        <f t="shared" si="45"/>
        <v>0</v>
      </c>
    </row>
    <row r="90" spans="1:13" ht="15.75" customHeight="1" outlineLevel="4">
      <c r="A90" s="54"/>
      <c r="B90" s="100" t="s">
        <v>30</v>
      </c>
      <c r="C90" s="99" t="s">
        <v>245</v>
      </c>
      <c r="D90" s="100" t="s">
        <v>18</v>
      </c>
      <c r="E90" s="100" t="s">
        <v>46</v>
      </c>
      <c r="F90" s="70">
        <v>40000</v>
      </c>
      <c r="G90" s="70">
        <v>16112.58</v>
      </c>
      <c r="H90" s="202"/>
      <c r="I90" s="202"/>
      <c r="J90" s="202"/>
      <c r="K90" s="202"/>
      <c r="L90" s="202"/>
      <c r="M90" s="202"/>
    </row>
    <row r="91" spans="1:13" ht="15.75" customHeight="1" outlineLevel="4">
      <c r="A91" s="54"/>
      <c r="B91" s="100" t="s">
        <v>30</v>
      </c>
      <c r="C91" s="99" t="s">
        <v>245</v>
      </c>
      <c r="D91" s="100" t="s">
        <v>59</v>
      </c>
      <c r="E91" s="100" t="s">
        <v>46</v>
      </c>
      <c r="F91" s="70">
        <v>12080</v>
      </c>
      <c r="G91" s="70">
        <v>4865.99</v>
      </c>
      <c r="H91" s="202"/>
      <c r="I91" s="202"/>
      <c r="J91" s="202"/>
      <c r="K91" s="202"/>
      <c r="L91" s="202"/>
      <c r="M91" s="202"/>
    </row>
    <row r="92" spans="1:13" ht="15.75" customHeight="1" outlineLevel="4">
      <c r="A92" s="54"/>
      <c r="B92" s="100"/>
      <c r="C92" s="31"/>
      <c r="D92" s="100"/>
      <c r="E92" s="100"/>
      <c r="F92" s="70"/>
      <c r="G92" s="70"/>
      <c r="H92" s="70"/>
      <c r="I92" s="70"/>
      <c r="J92" s="70"/>
      <c r="K92" s="70"/>
      <c r="L92" s="70"/>
      <c r="M92" s="70"/>
    </row>
    <row r="93" spans="1:13" ht="28.5" customHeight="1" outlineLevel="4">
      <c r="A93" s="143" t="s">
        <v>160</v>
      </c>
      <c r="B93" s="244" t="s">
        <v>161</v>
      </c>
      <c r="C93" s="245"/>
      <c r="D93" s="245"/>
      <c r="E93" s="246"/>
      <c r="F93" s="144">
        <f t="shared" ref="F93:M93" si="46">F94</f>
        <v>1000</v>
      </c>
      <c r="G93" s="144">
        <f t="shared" si="46"/>
        <v>0</v>
      </c>
      <c r="H93" s="144">
        <f t="shared" si="46"/>
        <v>1000</v>
      </c>
      <c r="I93" s="144">
        <f t="shared" si="46"/>
        <v>1000</v>
      </c>
      <c r="J93" s="144">
        <f t="shared" si="46"/>
        <v>1000</v>
      </c>
      <c r="K93" s="144">
        <f t="shared" si="46"/>
        <v>1000</v>
      </c>
      <c r="L93" s="144">
        <f t="shared" si="46"/>
        <v>1000</v>
      </c>
      <c r="M93" s="144">
        <f t="shared" si="46"/>
        <v>1000</v>
      </c>
    </row>
    <row r="94" spans="1:13" ht="25.5" outlineLevel="7">
      <c r="A94" s="7" t="s">
        <v>72</v>
      </c>
      <c r="B94" s="126" t="s">
        <v>30</v>
      </c>
      <c r="C94" s="127" t="s">
        <v>124</v>
      </c>
      <c r="D94" s="126" t="s">
        <v>22</v>
      </c>
      <c r="E94" s="126" t="s">
        <v>58</v>
      </c>
      <c r="F94" s="62">
        <v>1000</v>
      </c>
      <c r="G94" s="62"/>
      <c r="H94" s="62">
        <v>1000</v>
      </c>
      <c r="I94" s="62">
        <v>1000</v>
      </c>
      <c r="J94" s="62">
        <v>1000</v>
      </c>
      <c r="K94" s="62">
        <v>1000</v>
      </c>
      <c r="L94" s="62">
        <v>1000</v>
      </c>
      <c r="M94" s="62">
        <v>1000</v>
      </c>
    </row>
    <row r="95" spans="1:13" ht="24" customHeight="1" outlineLevel="7">
      <c r="A95" s="145" t="s">
        <v>136</v>
      </c>
      <c r="B95" s="253" t="s">
        <v>162</v>
      </c>
      <c r="C95" s="253"/>
      <c r="D95" s="253"/>
      <c r="E95" s="253"/>
      <c r="F95" s="110">
        <f>F96+F99</f>
        <v>405000</v>
      </c>
      <c r="G95" s="110">
        <f t="shared" ref="G95:J95" si="47">G96+G99</f>
        <v>196762.4</v>
      </c>
      <c r="H95" s="110">
        <f t="shared" si="47"/>
        <v>1007000</v>
      </c>
      <c r="I95" s="110">
        <f t="shared" si="47"/>
        <v>907000</v>
      </c>
      <c r="J95" s="110">
        <f t="shared" si="47"/>
        <v>907000</v>
      </c>
      <c r="K95" s="110">
        <f t="shared" ref="K95:M95" si="48">K96+K99</f>
        <v>1007000</v>
      </c>
      <c r="L95" s="110">
        <f t="shared" si="48"/>
        <v>907000</v>
      </c>
      <c r="M95" s="110">
        <f t="shared" si="48"/>
        <v>907000</v>
      </c>
    </row>
    <row r="96" spans="1:13" outlineLevel="7">
      <c r="A96" s="106" t="s">
        <v>89</v>
      </c>
      <c r="B96" s="107" t="s">
        <v>31</v>
      </c>
      <c r="C96" s="108"/>
      <c r="D96" s="107"/>
      <c r="E96" s="107" t="s">
        <v>58</v>
      </c>
      <c r="F96" s="109">
        <f t="shared" ref="F96:J96" si="49">F97+F98</f>
        <v>0</v>
      </c>
      <c r="G96" s="109">
        <f t="shared" si="49"/>
        <v>0</v>
      </c>
      <c r="H96" s="109">
        <f t="shared" si="49"/>
        <v>500000</v>
      </c>
      <c r="I96" s="109">
        <f t="shared" si="49"/>
        <v>400000</v>
      </c>
      <c r="J96" s="109">
        <f t="shared" si="49"/>
        <v>400000</v>
      </c>
      <c r="K96" s="109">
        <f t="shared" ref="K96:M96" si="50">K97+K98</f>
        <v>500000</v>
      </c>
      <c r="L96" s="109">
        <f t="shared" si="50"/>
        <v>400000</v>
      </c>
      <c r="M96" s="109">
        <f t="shared" si="50"/>
        <v>400000</v>
      </c>
    </row>
    <row r="97" spans="1:13" outlineLevel="7">
      <c r="A97" s="106" t="s">
        <v>143</v>
      </c>
      <c r="B97" s="107"/>
      <c r="C97" s="108"/>
      <c r="D97" s="107"/>
      <c r="E97" s="107"/>
      <c r="F97" s="73"/>
      <c r="G97" s="73"/>
      <c r="H97" s="73"/>
      <c r="I97" s="73"/>
      <c r="J97" s="73"/>
      <c r="K97" s="73"/>
      <c r="L97" s="73"/>
      <c r="M97" s="73"/>
    </row>
    <row r="98" spans="1:13" outlineLevel="7">
      <c r="A98" s="106" t="s">
        <v>261</v>
      </c>
      <c r="B98" s="107" t="s">
        <v>31</v>
      </c>
      <c r="C98" s="118" t="s">
        <v>248</v>
      </c>
      <c r="D98" s="107" t="s">
        <v>22</v>
      </c>
      <c r="E98" s="107" t="s">
        <v>58</v>
      </c>
      <c r="F98" s="73"/>
      <c r="G98" s="73"/>
      <c r="H98" s="73">
        <v>500000</v>
      </c>
      <c r="I98" s="73">
        <v>400000</v>
      </c>
      <c r="J98" s="73">
        <v>400000</v>
      </c>
      <c r="K98" s="73">
        <v>500000</v>
      </c>
      <c r="L98" s="73">
        <v>400000</v>
      </c>
      <c r="M98" s="73">
        <v>400000</v>
      </c>
    </row>
    <row r="99" spans="1:13" ht="25.5" outlineLevel="7">
      <c r="A99" s="131" t="s">
        <v>45</v>
      </c>
      <c r="B99" s="132"/>
      <c r="C99" s="133"/>
      <c r="D99" s="132"/>
      <c r="E99" s="132"/>
      <c r="F99" s="62">
        <f>SUM(F100:F104)</f>
        <v>405000</v>
      </c>
      <c r="G99" s="62">
        <f t="shared" ref="G99:J99" si="51">SUM(G100:G104)</f>
        <v>196762.4</v>
      </c>
      <c r="H99" s="62">
        <f t="shared" si="51"/>
        <v>507000</v>
      </c>
      <c r="I99" s="62">
        <f t="shared" si="51"/>
        <v>507000</v>
      </c>
      <c r="J99" s="62">
        <f t="shared" si="51"/>
        <v>507000</v>
      </c>
      <c r="K99" s="62">
        <f t="shared" ref="K99:M99" si="52">SUM(K100:K104)</f>
        <v>507000</v>
      </c>
      <c r="L99" s="62">
        <f t="shared" si="52"/>
        <v>507000</v>
      </c>
      <c r="M99" s="62">
        <f t="shared" si="52"/>
        <v>507000</v>
      </c>
    </row>
    <row r="100" spans="1:13" ht="51" outlineLevel="7">
      <c r="A100" s="129" t="s">
        <v>137</v>
      </c>
      <c r="B100" s="130" t="s">
        <v>31</v>
      </c>
      <c r="C100" s="31" t="s">
        <v>60</v>
      </c>
      <c r="D100" s="130" t="s">
        <v>22</v>
      </c>
      <c r="E100" s="130" t="s">
        <v>46</v>
      </c>
      <c r="F100" s="66">
        <v>55400</v>
      </c>
      <c r="G100" s="66">
        <v>54700</v>
      </c>
      <c r="H100" s="66"/>
      <c r="I100" s="66"/>
      <c r="J100" s="66"/>
      <c r="K100" s="66"/>
      <c r="L100" s="66"/>
      <c r="M100" s="66"/>
    </row>
    <row r="101" spans="1:13" ht="51" outlineLevel="7">
      <c r="A101" s="129" t="s">
        <v>138</v>
      </c>
      <c r="B101" s="130" t="s">
        <v>31</v>
      </c>
      <c r="C101" s="31" t="s">
        <v>61</v>
      </c>
      <c r="D101" s="130" t="s">
        <v>22</v>
      </c>
      <c r="E101" s="130" t="s">
        <v>46</v>
      </c>
      <c r="F101" s="66">
        <v>79600</v>
      </c>
      <c r="G101" s="66">
        <v>79600</v>
      </c>
      <c r="H101" s="66"/>
      <c r="I101" s="66"/>
      <c r="J101" s="66"/>
      <c r="K101" s="66"/>
      <c r="L101" s="66"/>
      <c r="M101" s="66"/>
    </row>
    <row r="102" spans="1:13" ht="51" outlineLevel="7">
      <c r="A102" s="129" t="s">
        <v>139</v>
      </c>
      <c r="B102" s="130" t="s">
        <v>31</v>
      </c>
      <c r="C102" s="31" t="s">
        <v>62</v>
      </c>
      <c r="D102" s="130" t="s">
        <v>22</v>
      </c>
      <c r="E102" s="130" t="s">
        <v>46</v>
      </c>
      <c r="F102" s="66">
        <v>120000</v>
      </c>
      <c r="G102" s="66">
        <v>44462.400000000001</v>
      </c>
      <c r="H102" s="219">
        <v>364000</v>
      </c>
      <c r="I102" s="219">
        <v>364000</v>
      </c>
      <c r="J102" s="219">
        <v>364000</v>
      </c>
      <c r="K102" s="219">
        <v>364000</v>
      </c>
      <c r="L102" s="219">
        <v>364000</v>
      </c>
      <c r="M102" s="219">
        <v>364000</v>
      </c>
    </row>
    <row r="103" spans="1:13" ht="51" outlineLevel="7">
      <c r="A103" s="129" t="s">
        <v>140</v>
      </c>
      <c r="B103" s="130" t="s">
        <v>31</v>
      </c>
      <c r="C103" s="31" t="s">
        <v>63</v>
      </c>
      <c r="D103" s="130" t="s">
        <v>22</v>
      </c>
      <c r="E103" s="130" t="s">
        <v>46</v>
      </c>
      <c r="F103" s="66">
        <v>150000</v>
      </c>
      <c r="G103" s="66">
        <v>18000</v>
      </c>
      <c r="H103" s="219">
        <v>143000</v>
      </c>
      <c r="I103" s="219">
        <v>143000</v>
      </c>
      <c r="J103" s="219">
        <v>143000</v>
      </c>
      <c r="K103" s="219">
        <v>143000</v>
      </c>
      <c r="L103" s="219">
        <v>143000</v>
      </c>
      <c r="M103" s="219">
        <v>143000</v>
      </c>
    </row>
    <row r="104" spans="1:13" ht="51" outlineLevel="7">
      <c r="A104" s="129" t="s">
        <v>141</v>
      </c>
      <c r="B104" s="130" t="s">
        <v>31</v>
      </c>
      <c r="C104" s="31" t="s">
        <v>64</v>
      </c>
      <c r="D104" s="130" t="s">
        <v>22</v>
      </c>
      <c r="E104" s="130" t="s">
        <v>46</v>
      </c>
      <c r="F104" s="66"/>
      <c r="G104" s="66"/>
      <c r="H104" s="66"/>
      <c r="I104" s="66"/>
      <c r="J104" s="66"/>
      <c r="K104" s="66"/>
      <c r="L104" s="66"/>
      <c r="M104" s="66"/>
    </row>
    <row r="105" spans="1:13" ht="26.25" customHeight="1" outlineLevel="7">
      <c r="A105" s="146" t="s">
        <v>144</v>
      </c>
      <c r="B105" s="250" t="s">
        <v>164</v>
      </c>
      <c r="C105" s="251"/>
      <c r="D105" s="251"/>
      <c r="E105" s="252"/>
      <c r="F105" s="110">
        <f>F106+F122+F126+F130+F135+F143+F146+F156+F161+F177+F179+F200+F173</f>
        <v>3611781.26</v>
      </c>
      <c r="G105" s="110">
        <f t="shared" ref="G105:J105" si="53">G106+G122+G126+G130+G135+G143+G146+G156+G161+G177+G179+G200+G173</f>
        <v>903037.34</v>
      </c>
      <c r="H105" s="110">
        <f t="shared" si="53"/>
        <v>2169262.4500000002</v>
      </c>
      <c r="I105" s="110">
        <f t="shared" si="53"/>
        <v>2122176</v>
      </c>
      <c r="J105" s="110">
        <f t="shared" si="53"/>
        <v>1402624</v>
      </c>
      <c r="K105" s="110">
        <f t="shared" ref="K105:M105" si="54">K106+K122+K126+K130+K135+K143+K146+K156+K161+K177+K179+K200+K173</f>
        <v>2169262.4500000002</v>
      </c>
      <c r="L105" s="110">
        <f t="shared" si="54"/>
        <v>2977869</v>
      </c>
      <c r="M105" s="110">
        <f t="shared" si="54"/>
        <v>1402624</v>
      </c>
    </row>
    <row r="106" spans="1:13" ht="25.5" outlineLevel="7">
      <c r="A106" s="139" t="s">
        <v>45</v>
      </c>
      <c r="B106" s="147"/>
      <c r="C106" s="148"/>
      <c r="D106" s="147"/>
      <c r="E106" s="147"/>
      <c r="F106" s="62">
        <f>F107+F113+F118</f>
        <v>70000</v>
      </c>
      <c r="G106" s="62">
        <f t="shared" ref="G106:J106" si="55">G107+G113+G118</f>
        <v>0</v>
      </c>
      <c r="H106" s="62">
        <f t="shared" si="55"/>
        <v>90000</v>
      </c>
      <c r="I106" s="62">
        <f t="shared" si="55"/>
        <v>90000</v>
      </c>
      <c r="J106" s="62">
        <f t="shared" si="55"/>
        <v>90000</v>
      </c>
      <c r="K106" s="62">
        <f t="shared" ref="K106:M106" si="56">K107+K113+K118</f>
        <v>90000</v>
      </c>
      <c r="L106" s="62">
        <f t="shared" si="56"/>
        <v>90000</v>
      </c>
      <c r="M106" s="62">
        <f t="shared" si="56"/>
        <v>90000</v>
      </c>
    </row>
    <row r="107" spans="1:13" ht="51" outlineLevel="7">
      <c r="A107" s="113" t="s">
        <v>128</v>
      </c>
      <c r="B107" s="34" t="s">
        <v>33</v>
      </c>
      <c r="C107" s="40" t="s">
        <v>129</v>
      </c>
      <c r="D107" s="34" t="s">
        <v>22</v>
      </c>
      <c r="E107" s="34" t="s">
        <v>46</v>
      </c>
      <c r="F107" s="81">
        <f>SUM(F108:F112)</f>
        <v>0</v>
      </c>
      <c r="G107" s="81">
        <f t="shared" ref="G107:J107" si="57">SUM(G108:G112)</f>
        <v>0</v>
      </c>
      <c r="H107" s="81">
        <f t="shared" si="57"/>
        <v>0</v>
      </c>
      <c r="I107" s="81">
        <f t="shared" si="57"/>
        <v>0</v>
      </c>
      <c r="J107" s="81">
        <f t="shared" si="57"/>
        <v>0</v>
      </c>
      <c r="K107" s="81">
        <f t="shared" ref="K107:M107" si="58">SUM(K108:K112)</f>
        <v>0</v>
      </c>
      <c r="L107" s="81">
        <f t="shared" si="58"/>
        <v>0</v>
      </c>
      <c r="M107" s="81">
        <f t="shared" si="58"/>
        <v>0</v>
      </c>
    </row>
    <row r="108" spans="1:13" outlineLevel="7">
      <c r="A108" s="10" t="s">
        <v>47</v>
      </c>
      <c r="B108" s="27"/>
      <c r="C108" s="46"/>
      <c r="D108" s="27"/>
      <c r="E108" s="27"/>
      <c r="F108" s="75"/>
      <c r="G108" s="75"/>
      <c r="H108" s="75"/>
      <c r="I108" s="75"/>
      <c r="J108" s="75"/>
      <c r="K108" s="75"/>
      <c r="L108" s="75"/>
      <c r="M108" s="75"/>
    </row>
    <row r="109" spans="1:13" outlineLevel="7">
      <c r="A109" s="10" t="s">
        <v>95</v>
      </c>
      <c r="B109" s="27"/>
      <c r="C109" s="46"/>
      <c r="D109" s="27"/>
      <c r="E109" s="27"/>
      <c r="F109" s="75"/>
      <c r="G109" s="75"/>
      <c r="H109" s="75"/>
      <c r="I109" s="75"/>
      <c r="J109" s="75"/>
      <c r="K109" s="75"/>
      <c r="L109" s="75"/>
      <c r="M109" s="75"/>
    </row>
    <row r="110" spans="1:13" outlineLevel="7">
      <c r="A110" s="10" t="s">
        <v>94</v>
      </c>
      <c r="B110" s="27"/>
      <c r="C110" s="46"/>
      <c r="D110" s="27"/>
      <c r="E110" s="27"/>
      <c r="F110" s="75"/>
      <c r="G110" s="75"/>
      <c r="H110" s="75"/>
      <c r="I110" s="75"/>
      <c r="J110" s="75"/>
      <c r="K110" s="75"/>
      <c r="L110" s="75"/>
      <c r="M110" s="75"/>
    </row>
    <row r="111" spans="1:13" outlineLevel="7">
      <c r="A111" s="10"/>
      <c r="B111" s="27"/>
      <c r="C111" s="57"/>
      <c r="D111" s="27"/>
      <c r="E111" s="27"/>
      <c r="F111" s="77"/>
      <c r="G111" s="77"/>
      <c r="H111" s="77"/>
      <c r="I111" s="77"/>
      <c r="J111" s="77"/>
      <c r="K111" s="77"/>
      <c r="L111" s="77"/>
      <c r="M111" s="77"/>
    </row>
    <row r="112" spans="1:13" outlineLevel="7">
      <c r="A112" s="111"/>
      <c r="B112" s="34"/>
      <c r="C112" s="112"/>
      <c r="D112" s="34"/>
      <c r="E112" s="34"/>
      <c r="F112" s="81"/>
      <c r="G112" s="81"/>
      <c r="H112" s="81"/>
      <c r="I112" s="81"/>
      <c r="J112" s="81"/>
      <c r="K112" s="81"/>
      <c r="L112" s="81"/>
      <c r="M112" s="81"/>
    </row>
    <row r="113" spans="1:13" ht="38.25" outlineLevel="7">
      <c r="A113" s="115" t="s">
        <v>142</v>
      </c>
      <c r="B113" s="34" t="s">
        <v>34</v>
      </c>
      <c r="C113" s="40" t="s">
        <v>127</v>
      </c>
      <c r="D113" s="34" t="s">
        <v>22</v>
      </c>
      <c r="E113" s="34" t="s">
        <v>46</v>
      </c>
      <c r="F113" s="81">
        <f>SUM(F114:F117)</f>
        <v>70000</v>
      </c>
      <c r="G113" s="81">
        <f t="shared" ref="G113:J113" si="59">SUM(G114:G117)</f>
        <v>0</v>
      </c>
      <c r="H113" s="81">
        <f t="shared" si="59"/>
        <v>70000</v>
      </c>
      <c r="I113" s="81">
        <f t="shared" si="59"/>
        <v>70000</v>
      </c>
      <c r="J113" s="81">
        <f t="shared" si="59"/>
        <v>70000</v>
      </c>
      <c r="K113" s="81">
        <f t="shared" ref="K113:M113" si="60">SUM(K114:K117)</f>
        <v>70000</v>
      </c>
      <c r="L113" s="81">
        <f t="shared" si="60"/>
        <v>70000</v>
      </c>
      <c r="M113" s="81">
        <f t="shared" si="60"/>
        <v>70000</v>
      </c>
    </row>
    <row r="114" spans="1:13" outlineLevel="7">
      <c r="A114" s="89" t="s">
        <v>201</v>
      </c>
      <c r="B114" s="90"/>
      <c r="C114" s="46"/>
      <c r="D114" s="91"/>
      <c r="E114" s="27"/>
      <c r="F114" s="75">
        <v>70000</v>
      </c>
      <c r="G114" s="75"/>
      <c r="H114" s="218">
        <v>70000</v>
      </c>
      <c r="I114" s="218">
        <v>70000</v>
      </c>
      <c r="J114" s="218">
        <v>70000</v>
      </c>
      <c r="K114" s="218">
        <v>70000</v>
      </c>
      <c r="L114" s="218">
        <v>70000</v>
      </c>
      <c r="M114" s="218">
        <v>70000</v>
      </c>
    </row>
    <row r="115" spans="1:13" outlineLevel="7">
      <c r="A115" s="89"/>
      <c r="B115" s="90"/>
      <c r="C115" s="46"/>
      <c r="D115" s="91"/>
      <c r="E115" s="27"/>
      <c r="F115" s="75"/>
      <c r="G115" s="75"/>
      <c r="H115" s="75"/>
      <c r="I115" s="75"/>
      <c r="J115" s="75"/>
      <c r="K115" s="75"/>
      <c r="L115" s="75"/>
      <c r="M115" s="75"/>
    </row>
    <row r="116" spans="1:13" outlineLevel="7">
      <c r="A116" s="89"/>
      <c r="B116" s="90"/>
      <c r="C116" s="46"/>
      <c r="D116" s="91"/>
      <c r="E116" s="27"/>
      <c r="F116" s="75"/>
      <c r="G116" s="75"/>
      <c r="H116" s="75"/>
      <c r="I116" s="75"/>
      <c r="J116" s="75"/>
      <c r="K116" s="75"/>
      <c r="L116" s="75"/>
      <c r="M116" s="75"/>
    </row>
    <row r="117" spans="1:13" outlineLevel="7">
      <c r="A117" s="116"/>
      <c r="B117" s="48"/>
      <c r="C117" s="114"/>
      <c r="D117" s="37"/>
      <c r="E117" s="32"/>
      <c r="F117" s="81"/>
      <c r="G117" s="81"/>
      <c r="H117" s="81"/>
      <c r="I117" s="81"/>
      <c r="J117" s="81"/>
      <c r="K117" s="81"/>
      <c r="L117" s="81"/>
      <c r="M117" s="81"/>
    </row>
    <row r="118" spans="1:13" ht="29.25" customHeight="1" outlineLevel="7">
      <c r="A118" s="117" t="s">
        <v>134</v>
      </c>
      <c r="B118" s="104" t="s">
        <v>36</v>
      </c>
      <c r="C118" s="40" t="s">
        <v>135</v>
      </c>
      <c r="D118" s="105" t="s">
        <v>22</v>
      </c>
      <c r="E118" s="34" t="s">
        <v>46</v>
      </c>
      <c r="F118" s="81">
        <f>SUM(F119:F121)</f>
        <v>0</v>
      </c>
      <c r="G118" s="81">
        <f t="shared" ref="G118:J118" si="61">SUM(G119:G121)</f>
        <v>0</v>
      </c>
      <c r="H118" s="81">
        <f t="shared" si="61"/>
        <v>20000</v>
      </c>
      <c r="I118" s="81">
        <f t="shared" si="61"/>
        <v>20000</v>
      </c>
      <c r="J118" s="81">
        <f t="shared" si="61"/>
        <v>20000</v>
      </c>
      <c r="K118" s="81">
        <f t="shared" ref="K118:M118" si="62">SUM(K119:K121)</f>
        <v>20000</v>
      </c>
      <c r="L118" s="81">
        <f t="shared" si="62"/>
        <v>20000</v>
      </c>
      <c r="M118" s="81">
        <f t="shared" si="62"/>
        <v>20000</v>
      </c>
    </row>
    <row r="119" spans="1:13" outlineLevel="7">
      <c r="A119" s="182" t="s">
        <v>202</v>
      </c>
      <c r="B119" s="91"/>
      <c r="C119" s="46"/>
      <c r="D119" s="27"/>
      <c r="E119" s="27"/>
      <c r="F119" s="66">
        <v>0</v>
      </c>
      <c r="G119" s="66"/>
      <c r="H119" s="219">
        <v>20000</v>
      </c>
      <c r="I119" s="219">
        <v>20000</v>
      </c>
      <c r="J119" s="219">
        <v>20000</v>
      </c>
      <c r="K119" s="219">
        <v>20000</v>
      </c>
      <c r="L119" s="219">
        <v>20000</v>
      </c>
      <c r="M119" s="219">
        <v>20000</v>
      </c>
    </row>
    <row r="120" spans="1:13" outlineLevel="3">
      <c r="A120" s="36"/>
      <c r="B120" s="37"/>
      <c r="C120" s="38"/>
      <c r="D120" s="32"/>
      <c r="E120" s="33"/>
      <c r="F120" s="71"/>
      <c r="G120" s="71"/>
      <c r="H120" s="71"/>
      <c r="I120" s="71"/>
      <c r="J120" s="71"/>
      <c r="K120" s="71"/>
      <c r="L120" s="71"/>
      <c r="M120" s="71"/>
    </row>
    <row r="121" spans="1:13" outlineLevel="4">
      <c r="A121" s="39"/>
      <c r="B121" s="32"/>
      <c r="C121" s="22"/>
      <c r="D121" s="32"/>
      <c r="E121" s="33"/>
      <c r="F121" s="71"/>
      <c r="G121" s="71"/>
      <c r="H121" s="71"/>
      <c r="I121" s="71"/>
      <c r="J121" s="71"/>
      <c r="K121" s="71"/>
      <c r="L121" s="71"/>
      <c r="M121" s="71"/>
    </row>
    <row r="122" spans="1:13" ht="25.5" outlineLevel="4">
      <c r="A122" s="7" t="s">
        <v>70</v>
      </c>
      <c r="B122" s="147"/>
      <c r="C122" s="18" t="s">
        <v>145</v>
      </c>
      <c r="D122" s="17" t="s">
        <v>22</v>
      </c>
      <c r="E122" s="17" t="s">
        <v>58</v>
      </c>
      <c r="F122" s="62">
        <f t="shared" ref="F122:J122" si="63">SUM(F123:F125)</f>
        <v>20000</v>
      </c>
      <c r="G122" s="62">
        <f t="shared" si="63"/>
        <v>20000</v>
      </c>
      <c r="H122" s="62">
        <f t="shared" si="63"/>
        <v>40000</v>
      </c>
      <c r="I122" s="62">
        <f t="shared" si="63"/>
        <v>0</v>
      </c>
      <c r="J122" s="62">
        <f t="shared" si="63"/>
        <v>0</v>
      </c>
      <c r="K122" s="62">
        <f t="shared" ref="K122:M122" si="64">SUM(K123:K125)</f>
        <v>40000</v>
      </c>
      <c r="L122" s="62">
        <f t="shared" si="64"/>
        <v>0</v>
      </c>
      <c r="M122" s="62">
        <f t="shared" si="64"/>
        <v>0</v>
      </c>
    </row>
    <row r="123" spans="1:13" outlineLevel="4">
      <c r="A123" s="5" t="s">
        <v>268</v>
      </c>
      <c r="B123" s="35" t="s">
        <v>36</v>
      </c>
      <c r="C123" s="20" t="s">
        <v>145</v>
      </c>
      <c r="D123" s="35" t="s">
        <v>22</v>
      </c>
      <c r="E123" s="35" t="s">
        <v>58</v>
      </c>
      <c r="F123" s="73">
        <v>20000</v>
      </c>
      <c r="G123" s="73">
        <v>20000</v>
      </c>
      <c r="H123" s="73"/>
      <c r="I123" s="73"/>
      <c r="J123" s="73"/>
      <c r="K123" s="73"/>
      <c r="L123" s="73"/>
      <c r="M123" s="73"/>
    </row>
    <row r="124" spans="1:13" outlineLevel="4">
      <c r="A124" s="4"/>
      <c r="B124" s="19" t="s">
        <v>33</v>
      </c>
      <c r="C124" s="20" t="s">
        <v>145</v>
      </c>
      <c r="D124" s="35" t="s">
        <v>22</v>
      </c>
      <c r="E124" s="35" t="s">
        <v>58</v>
      </c>
      <c r="F124" s="65"/>
      <c r="G124" s="65"/>
      <c r="H124" s="65"/>
      <c r="I124" s="65"/>
      <c r="J124" s="65"/>
      <c r="K124" s="65"/>
      <c r="L124" s="65"/>
      <c r="M124" s="65"/>
    </row>
    <row r="125" spans="1:13" ht="25.5" outlineLevel="7">
      <c r="A125" s="8" t="s">
        <v>189</v>
      </c>
      <c r="B125" s="19" t="s">
        <v>34</v>
      </c>
      <c r="C125" s="20" t="s">
        <v>145</v>
      </c>
      <c r="D125" s="35" t="s">
        <v>22</v>
      </c>
      <c r="E125" s="35" t="s">
        <v>58</v>
      </c>
      <c r="F125" s="64">
        <v>0</v>
      </c>
      <c r="G125" s="65"/>
      <c r="H125" s="64">
        <v>40000</v>
      </c>
      <c r="I125" s="64"/>
      <c r="J125" s="64"/>
      <c r="K125" s="64">
        <v>40000</v>
      </c>
      <c r="L125" s="64"/>
      <c r="M125" s="64"/>
    </row>
    <row r="126" spans="1:13" ht="25.5" outlineLevel="7">
      <c r="A126" s="7" t="s">
        <v>148</v>
      </c>
      <c r="B126" s="119" t="s">
        <v>33</v>
      </c>
      <c r="C126" s="123" t="s">
        <v>149</v>
      </c>
      <c r="D126" s="121" t="s">
        <v>22</v>
      </c>
      <c r="E126" s="17" t="s">
        <v>58</v>
      </c>
      <c r="F126" s="62">
        <f t="shared" ref="F126:J126" si="65">SUM(F127:F129)</f>
        <v>0</v>
      </c>
      <c r="G126" s="62">
        <f t="shared" si="65"/>
        <v>0</v>
      </c>
      <c r="H126" s="62">
        <f t="shared" si="65"/>
        <v>0</v>
      </c>
      <c r="I126" s="62">
        <f t="shared" si="65"/>
        <v>0</v>
      </c>
      <c r="J126" s="62">
        <f t="shared" si="65"/>
        <v>0</v>
      </c>
      <c r="K126" s="62">
        <f t="shared" ref="K126:M126" si="66">SUM(K127:K129)</f>
        <v>0</v>
      </c>
      <c r="L126" s="62">
        <f t="shared" si="66"/>
        <v>0</v>
      </c>
      <c r="M126" s="62">
        <f t="shared" si="66"/>
        <v>0</v>
      </c>
    </row>
    <row r="127" spans="1:13" outlineLevel="7">
      <c r="A127" s="8"/>
      <c r="B127" s="120"/>
      <c r="C127" s="124"/>
      <c r="D127" s="101"/>
      <c r="E127" s="23"/>
      <c r="F127" s="67"/>
      <c r="G127" s="66"/>
      <c r="H127" s="67"/>
      <c r="I127" s="67"/>
      <c r="J127" s="67"/>
      <c r="K127" s="67"/>
      <c r="L127" s="67"/>
      <c r="M127" s="67"/>
    </row>
    <row r="128" spans="1:13" outlineLevel="7">
      <c r="A128" s="8"/>
      <c r="B128" s="120"/>
      <c r="C128" s="124"/>
      <c r="D128" s="101"/>
      <c r="E128" s="23"/>
      <c r="F128" s="67"/>
      <c r="G128" s="66"/>
      <c r="H128" s="67"/>
      <c r="I128" s="67"/>
      <c r="J128" s="67"/>
      <c r="K128" s="67"/>
      <c r="L128" s="67"/>
      <c r="M128" s="67"/>
    </row>
    <row r="129" spans="1:13" outlineLevel="7">
      <c r="A129" s="8"/>
      <c r="B129" s="120"/>
      <c r="C129" s="124"/>
      <c r="D129" s="101"/>
      <c r="E129" s="23"/>
      <c r="F129" s="67"/>
      <c r="G129" s="66"/>
      <c r="H129" s="67"/>
      <c r="I129" s="67"/>
      <c r="J129" s="67"/>
      <c r="K129" s="67"/>
      <c r="L129" s="67"/>
      <c r="M129" s="67"/>
    </row>
    <row r="130" spans="1:13" outlineLevel="7">
      <c r="A130" s="7" t="s">
        <v>35</v>
      </c>
      <c r="B130" s="119" t="s">
        <v>34</v>
      </c>
      <c r="C130" s="123" t="s">
        <v>150</v>
      </c>
      <c r="D130" s="121" t="s">
        <v>22</v>
      </c>
      <c r="E130" s="17" t="s">
        <v>58</v>
      </c>
      <c r="F130" s="62">
        <f t="shared" ref="F130:J130" si="67">SUM(F131:F134)</f>
        <v>0</v>
      </c>
      <c r="G130" s="62">
        <f t="shared" si="67"/>
        <v>0</v>
      </c>
      <c r="H130" s="62">
        <f t="shared" si="67"/>
        <v>0</v>
      </c>
      <c r="I130" s="62">
        <f t="shared" si="67"/>
        <v>0</v>
      </c>
      <c r="J130" s="62">
        <f t="shared" si="67"/>
        <v>0</v>
      </c>
      <c r="K130" s="62">
        <f t="shared" ref="K130:M130" si="68">SUM(K131:K134)</f>
        <v>0</v>
      </c>
      <c r="L130" s="62">
        <f t="shared" si="68"/>
        <v>0</v>
      </c>
      <c r="M130" s="62">
        <f t="shared" si="68"/>
        <v>0</v>
      </c>
    </row>
    <row r="131" spans="1:13" outlineLevel="7">
      <c r="A131" s="8"/>
      <c r="B131" s="120"/>
      <c r="C131" s="124"/>
      <c r="D131" s="101"/>
      <c r="E131" s="23"/>
      <c r="F131" s="67"/>
      <c r="G131" s="66"/>
      <c r="H131" s="67"/>
      <c r="I131" s="67"/>
      <c r="J131" s="67"/>
      <c r="K131" s="67"/>
      <c r="L131" s="67"/>
      <c r="M131" s="67"/>
    </row>
    <row r="132" spans="1:13" outlineLevel="7">
      <c r="A132" s="8"/>
      <c r="B132" s="120"/>
      <c r="C132" s="124"/>
      <c r="D132" s="101"/>
      <c r="E132" s="23"/>
      <c r="F132" s="67"/>
      <c r="G132" s="66"/>
      <c r="H132" s="67"/>
      <c r="I132" s="67"/>
      <c r="J132" s="67"/>
      <c r="K132" s="67"/>
      <c r="L132" s="67"/>
      <c r="M132" s="67"/>
    </row>
    <row r="133" spans="1:13" outlineLevel="7">
      <c r="A133" s="8"/>
      <c r="B133" s="120"/>
      <c r="C133" s="124"/>
      <c r="D133" s="101"/>
      <c r="E133" s="23"/>
      <c r="F133" s="67"/>
      <c r="G133" s="66"/>
      <c r="H133" s="67"/>
      <c r="I133" s="67"/>
      <c r="J133" s="67"/>
      <c r="K133" s="67"/>
      <c r="L133" s="67"/>
      <c r="M133" s="67"/>
    </row>
    <row r="134" spans="1:13" outlineLevel="7">
      <c r="A134" s="8"/>
      <c r="B134" s="120"/>
      <c r="C134" s="124"/>
      <c r="D134" s="101"/>
      <c r="E134" s="23"/>
      <c r="F134" s="67"/>
      <c r="G134" s="66"/>
      <c r="H134" s="67"/>
      <c r="I134" s="67"/>
      <c r="J134" s="67"/>
      <c r="K134" s="67"/>
      <c r="L134" s="67"/>
      <c r="M134" s="67"/>
    </row>
    <row r="135" spans="1:13" outlineLevel="7">
      <c r="A135" s="7" t="s">
        <v>68</v>
      </c>
      <c r="B135" s="17" t="s">
        <v>36</v>
      </c>
      <c r="C135" s="21" t="s">
        <v>147</v>
      </c>
      <c r="D135" s="17" t="s">
        <v>22</v>
      </c>
      <c r="E135" s="17" t="s">
        <v>58</v>
      </c>
      <c r="F135" s="62">
        <f t="shared" ref="F135:J135" si="69">SUM(F136:F141)</f>
        <v>18000</v>
      </c>
      <c r="G135" s="62">
        <f t="shared" si="69"/>
        <v>18000</v>
      </c>
      <c r="H135" s="62">
        <f t="shared" si="69"/>
        <v>50000</v>
      </c>
      <c r="I135" s="62">
        <f t="shared" si="69"/>
        <v>42000</v>
      </c>
      <c r="J135" s="62">
        <f t="shared" si="69"/>
        <v>42000</v>
      </c>
      <c r="K135" s="62">
        <f t="shared" ref="K135:M135" si="70">SUM(K136:K141)</f>
        <v>50000</v>
      </c>
      <c r="L135" s="62">
        <f t="shared" si="70"/>
        <v>42000</v>
      </c>
      <c r="M135" s="62">
        <f t="shared" si="70"/>
        <v>42000</v>
      </c>
    </row>
    <row r="136" spans="1:13" outlineLevel="7">
      <c r="A136" s="84" t="s">
        <v>81</v>
      </c>
      <c r="B136" s="85"/>
      <c r="C136" s="86"/>
      <c r="D136" s="85"/>
      <c r="E136" s="85"/>
      <c r="F136" s="74">
        <v>18000</v>
      </c>
      <c r="G136" s="95">
        <v>18000</v>
      </c>
      <c r="H136" s="74">
        <v>35000</v>
      </c>
      <c r="I136" s="74">
        <v>35000</v>
      </c>
      <c r="J136" s="74">
        <v>35000</v>
      </c>
      <c r="K136" s="74">
        <v>35000</v>
      </c>
      <c r="L136" s="74">
        <v>35000</v>
      </c>
      <c r="M136" s="74">
        <v>35000</v>
      </c>
    </row>
    <row r="137" spans="1:13" outlineLevel="7">
      <c r="A137" s="84" t="s">
        <v>183</v>
      </c>
      <c r="B137" s="85"/>
      <c r="C137" s="86"/>
      <c r="D137" s="85"/>
      <c r="E137" s="85"/>
      <c r="F137" s="74"/>
      <c r="G137" s="95"/>
      <c r="H137" s="74"/>
      <c r="I137" s="74"/>
      <c r="J137" s="74"/>
      <c r="K137" s="74"/>
      <c r="L137" s="74"/>
      <c r="M137" s="74"/>
    </row>
    <row r="138" spans="1:13" outlineLevel="7">
      <c r="A138" s="84" t="s">
        <v>191</v>
      </c>
      <c r="B138" s="85"/>
      <c r="C138" s="86"/>
      <c r="D138" s="85"/>
      <c r="E138" s="85"/>
      <c r="F138" s="74"/>
      <c r="G138" s="95"/>
      <c r="H138" s="74">
        <v>5000</v>
      </c>
      <c r="I138" s="74">
        <v>5000</v>
      </c>
      <c r="J138" s="74">
        <v>5000</v>
      </c>
      <c r="K138" s="74">
        <v>5000</v>
      </c>
      <c r="L138" s="74">
        <v>5000</v>
      </c>
      <c r="M138" s="74">
        <v>5000</v>
      </c>
    </row>
    <row r="139" spans="1:13" outlineLevel="7">
      <c r="A139" s="45" t="s">
        <v>198</v>
      </c>
      <c r="B139" s="42"/>
      <c r="C139" s="43"/>
      <c r="D139" s="44"/>
      <c r="E139" s="41"/>
      <c r="F139" s="74"/>
      <c r="G139" s="95"/>
      <c r="H139" s="74">
        <v>2000</v>
      </c>
      <c r="I139" s="74">
        <v>2000</v>
      </c>
      <c r="J139" s="74">
        <v>2000</v>
      </c>
      <c r="K139" s="74">
        <v>2000</v>
      </c>
      <c r="L139" s="74">
        <v>2000</v>
      </c>
      <c r="M139" s="74">
        <v>2000</v>
      </c>
    </row>
    <row r="140" spans="1:13" outlineLevel="7">
      <c r="A140" s="45" t="s">
        <v>192</v>
      </c>
      <c r="B140" s="42"/>
      <c r="C140" s="43"/>
      <c r="D140" s="44"/>
      <c r="E140" s="41"/>
      <c r="F140" s="74"/>
      <c r="G140" s="95"/>
      <c r="H140" s="74">
        <v>8000</v>
      </c>
      <c r="I140" s="74"/>
      <c r="J140" s="74"/>
      <c r="K140" s="74">
        <v>8000</v>
      </c>
      <c r="L140" s="74"/>
      <c r="M140" s="74"/>
    </row>
    <row r="141" spans="1:13" outlineLevel="7">
      <c r="A141" s="8" t="s">
        <v>146</v>
      </c>
      <c r="B141" s="120"/>
      <c r="C141" s="124"/>
      <c r="D141" s="101"/>
      <c r="E141" s="23"/>
      <c r="F141" s="67"/>
      <c r="G141" s="66"/>
      <c r="H141" s="67"/>
      <c r="I141" s="67"/>
      <c r="J141" s="67"/>
      <c r="K141" s="67"/>
      <c r="L141" s="67"/>
      <c r="M141" s="67"/>
    </row>
    <row r="142" spans="1:13" outlineLevel="7">
      <c r="A142" s="8"/>
      <c r="B142" s="120"/>
      <c r="C142" s="124"/>
      <c r="D142" s="101"/>
      <c r="E142" s="23"/>
      <c r="F142" s="67"/>
      <c r="G142" s="66"/>
      <c r="H142" s="67"/>
      <c r="I142" s="67"/>
      <c r="J142" s="67"/>
      <c r="K142" s="67"/>
      <c r="L142" s="67"/>
      <c r="M142" s="67"/>
    </row>
    <row r="143" spans="1:13" ht="25.5" outlineLevel="7">
      <c r="A143" s="220" t="s">
        <v>269</v>
      </c>
      <c r="B143" s="119" t="s">
        <v>36</v>
      </c>
      <c r="C143" s="21" t="s">
        <v>270</v>
      </c>
      <c r="D143" s="17" t="s">
        <v>22</v>
      </c>
      <c r="E143" s="17"/>
      <c r="F143" s="72">
        <f>F144</f>
        <v>150000</v>
      </c>
      <c r="G143" s="72">
        <f t="shared" ref="G143:M143" si="71">G144</f>
        <v>150000</v>
      </c>
      <c r="H143" s="72">
        <f t="shared" si="71"/>
        <v>0</v>
      </c>
      <c r="I143" s="72">
        <f t="shared" si="71"/>
        <v>0</v>
      </c>
      <c r="J143" s="72">
        <f t="shared" si="71"/>
        <v>0</v>
      </c>
      <c r="K143" s="72">
        <f t="shared" si="71"/>
        <v>0</v>
      </c>
      <c r="L143" s="72">
        <f t="shared" si="71"/>
        <v>0</v>
      </c>
      <c r="M143" s="72">
        <f t="shared" si="71"/>
        <v>0</v>
      </c>
    </row>
    <row r="144" spans="1:13" outlineLevel="7">
      <c r="A144" s="198"/>
      <c r="B144" s="221" t="s">
        <v>36</v>
      </c>
      <c r="C144" s="31" t="s">
        <v>270</v>
      </c>
      <c r="D144" s="23" t="s">
        <v>22</v>
      </c>
      <c r="E144" s="23" t="s">
        <v>46</v>
      </c>
      <c r="F144" s="67">
        <v>150000</v>
      </c>
      <c r="G144" s="66">
        <v>150000</v>
      </c>
      <c r="H144" s="67"/>
      <c r="I144" s="67"/>
      <c r="J144" s="67"/>
      <c r="K144" s="67"/>
      <c r="L144" s="67"/>
      <c r="M144" s="67"/>
    </row>
    <row r="145" spans="1:13" outlineLevel="7">
      <c r="A145" s="198"/>
      <c r="B145" s="221"/>
      <c r="C145" s="31"/>
      <c r="D145" s="23"/>
      <c r="E145" s="23"/>
      <c r="F145" s="67"/>
      <c r="G145" s="66"/>
      <c r="H145" s="67"/>
      <c r="I145" s="67"/>
      <c r="J145" s="67"/>
      <c r="K145" s="67"/>
      <c r="L145" s="67"/>
      <c r="M145" s="67"/>
    </row>
    <row r="146" spans="1:13" outlineLevel="7">
      <c r="A146" s="7" t="s">
        <v>152</v>
      </c>
      <c r="B146" s="17" t="s">
        <v>36</v>
      </c>
      <c r="C146" s="40" t="s">
        <v>151</v>
      </c>
      <c r="D146" s="17"/>
      <c r="E146" s="17"/>
      <c r="F146" s="62">
        <f>F147+F155</f>
        <v>706701.27</v>
      </c>
      <c r="G146" s="62">
        <f t="shared" ref="G146:J146" si="72">G147+G155</f>
        <v>593863.74</v>
      </c>
      <c r="H146" s="62">
        <f t="shared" si="72"/>
        <v>1066081</v>
      </c>
      <c r="I146" s="62">
        <f t="shared" si="72"/>
        <v>468581</v>
      </c>
      <c r="J146" s="62">
        <f t="shared" si="72"/>
        <v>391581</v>
      </c>
      <c r="K146" s="62">
        <f t="shared" ref="K146:M146" si="73">K147+K155</f>
        <v>1066081</v>
      </c>
      <c r="L146" s="62">
        <f t="shared" si="73"/>
        <v>468581</v>
      </c>
      <c r="M146" s="62">
        <f t="shared" si="73"/>
        <v>391581</v>
      </c>
    </row>
    <row r="147" spans="1:13" outlineLevel="7">
      <c r="A147" s="8"/>
      <c r="B147" s="35" t="s">
        <v>36</v>
      </c>
      <c r="C147" s="114" t="s">
        <v>151</v>
      </c>
      <c r="D147" s="35" t="s">
        <v>22</v>
      </c>
      <c r="E147" s="35" t="s">
        <v>58</v>
      </c>
      <c r="F147" s="196">
        <f>SUM(F148:F154)</f>
        <v>504520.27</v>
      </c>
      <c r="G147" s="196">
        <f t="shared" ref="G147:J147" si="74">SUM(G148:G154)</f>
        <v>503538.8</v>
      </c>
      <c r="H147" s="196">
        <f t="shared" si="74"/>
        <v>774500</v>
      </c>
      <c r="I147" s="196">
        <f t="shared" si="74"/>
        <v>177000</v>
      </c>
      <c r="J147" s="196">
        <f t="shared" si="74"/>
        <v>100000</v>
      </c>
      <c r="K147" s="196">
        <f t="shared" ref="K147:M147" si="75">SUM(K148:K154)</f>
        <v>774500</v>
      </c>
      <c r="L147" s="196">
        <f t="shared" si="75"/>
        <v>177000</v>
      </c>
      <c r="M147" s="196">
        <f t="shared" si="75"/>
        <v>100000</v>
      </c>
    </row>
    <row r="148" spans="1:13" ht="25.5" outlineLevel="7">
      <c r="A148" s="8" t="s">
        <v>272</v>
      </c>
      <c r="B148" s="23"/>
      <c r="C148" s="24"/>
      <c r="D148" s="23"/>
      <c r="E148" s="23"/>
      <c r="F148" s="67">
        <f>14000-8049.2</f>
        <v>5950.8</v>
      </c>
      <c r="G148" s="66">
        <v>5950.8</v>
      </c>
      <c r="H148" s="67">
        <v>14000</v>
      </c>
      <c r="I148" s="67">
        <v>7000</v>
      </c>
      <c r="J148" s="67"/>
      <c r="K148" s="67">
        <v>14000</v>
      </c>
      <c r="L148" s="67">
        <v>7000</v>
      </c>
      <c r="M148" s="67"/>
    </row>
    <row r="149" spans="1:13" outlineLevel="7">
      <c r="A149" s="8" t="s">
        <v>271</v>
      </c>
      <c r="B149" s="23"/>
      <c r="C149" s="24"/>
      <c r="D149" s="23"/>
      <c r="E149" s="23"/>
      <c r="F149" s="66">
        <v>386624</v>
      </c>
      <c r="G149" s="66">
        <v>386624</v>
      </c>
      <c r="H149" s="67"/>
      <c r="I149" s="67"/>
      <c r="J149" s="67"/>
      <c r="K149" s="67"/>
      <c r="L149" s="67"/>
      <c r="M149" s="67"/>
    </row>
    <row r="150" spans="1:13" outlineLevel="7">
      <c r="A150" s="8" t="s">
        <v>273</v>
      </c>
      <c r="B150" s="23"/>
      <c r="C150" s="24"/>
      <c r="D150" s="23"/>
      <c r="E150" s="23"/>
      <c r="F150" s="66">
        <v>110964</v>
      </c>
      <c r="G150" s="66">
        <v>110964</v>
      </c>
      <c r="H150" s="67"/>
      <c r="I150" s="67"/>
      <c r="J150" s="67"/>
      <c r="K150" s="67"/>
      <c r="L150" s="67"/>
      <c r="M150" s="67"/>
    </row>
    <row r="151" spans="1:13" outlineLevel="7">
      <c r="A151" s="8" t="s">
        <v>252</v>
      </c>
      <c r="B151" s="23"/>
      <c r="C151" s="24"/>
      <c r="D151" s="23"/>
      <c r="E151" s="23"/>
      <c r="F151" s="67"/>
      <c r="G151" s="66"/>
      <c r="H151" s="67">
        <v>350000</v>
      </c>
      <c r="I151" s="67">
        <v>100000</v>
      </c>
      <c r="J151" s="67"/>
      <c r="K151" s="67">
        <v>350000</v>
      </c>
      <c r="L151" s="67">
        <v>100000</v>
      </c>
      <c r="M151" s="67"/>
    </row>
    <row r="152" spans="1:13" outlineLevel="7">
      <c r="A152" s="8" t="s">
        <v>193</v>
      </c>
      <c r="B152" s="23"/>
      <c r="C152" s="24"/>
      <c r="D152" s="23"/>
      <c r="E152" s="23"/>
      <c r="F152" s="67">
        <f>40000-39018.53</f>
        <v>981.47000000000116</v>
      </c>
      <c r="G152" s="66"/>
      <c r="H152" s="67">
        <v>40000</v>
      </c>
      <c r="I152" s="67">
        <v>50000</v>
      </c>
      <c r="J152" s="67">
        <v>100000</v>
      </c>
      <c r="K152" s="67">
        <v>40000</v>
      </c>
      <c r="L152" s="67">
        <v>50000</v>
      </c>
      <c r="M152" s="67">
        <v>100000</v>
      </c>
    </row>
    <row r="153" spans="1:13" ht="25.5" outlineLevel="7">
      <c r="A153" s="8" t="s">
        <v>246</v>
      </c>
      <c r="B153" s="23"/>
      <c r="C153" s="122"/>
      <c r="D153" s="23"/>
      <c r="E153" s="23"/>
      <c r="F153" s="67">
        <f>101729.76-101729.76</f>
        <v>0</v>
      </c>
      <c r="G153" s="66"/>
      <c r="H153" s="67">
        <v>370500</v>
      </c>
      <c r="I153" s="67">
        <v>20000</v>
      </c>
      <c r="J153" s="67"/>
      <c r="K153" s="67">
        <v>370500</v>
      </c>
      <c r="L153" s="67">
        <v>20000</v>
      </c>
      <c r="M153" s="67"/>
    </row>
    <row r="154" spans="1:13" outlineLevel="7">
      <c r="A154" s="8" t="s">
        <v>37</v>
      </c>
      <c r="B154" s="23"/>
      <c r="C154" s="122"/>
      <c r="D154" s="23"/>
      <c r="E154" s="23"/>
      <c r="F154" s="67"/>
      <c r="G154" s="66"/>
      <c r="H154" s="67"/>
      <c r="I154" s="67"/>
      <c r="J154" s="67"/>
      <c r="K154" s="67"/>
      <c r="L154" s="67"/>
      <c r="M154" s="67"/>
    </row>
    <row r="155" spans="1:13" outlineLevel="7">
      <c r="A155" s="5" t="s">
        <v>257</v>
      </c>
      <c r="B155" s="35" t="s">
        <v>36</v>
      </c>
      <c r="C155" s="114" t="s">
        <v>151</v>
      </c>
      <c r="D155" s="35" t="s">
        <v>243</v>
      </c>
      <c r="E155" s="35" t="s">
        <v>58</v>
      </c>
      <c r="F155" s="196">
        <v>202181</v>
      </c>
      <c r="G155" s="73">
        <v>90324.94</v>
      </c>
      <c r="H155" s="204">
        <v>291581</v>
      </c>
      <c r="I155" s="204">
        <v>291581</v>
      </c>
      <c r="J155" s="204">
        <v>291581</v>
      </c>
      <c r="K155" s="204">
        <v>291581</v>
      </c>
      <c r="L155" s="204">
        <v>291581</v>
      </c>
      <c r="M155" s="204">
        <v>291581</v>
      </c>
    </row>
    <row r="156" spans="1:13" outlineLevel="7">
      <c r="A156" s="7" t="s">
        <v>153</v>
      </c>
      <c r="B156" s="17" t="s">
        <v>36</v>
      </c>
      <c r="C156" s="40" t="s">
        <v>158</v>
      </c>
      <c r="D156" s="17" t="s">
        <v>22</v>
      </c>
      <c r="E156" s="17" t="s">
        <v>58</v>
      </c>
      <c r="F156" s="72">
        <f t="shared" ref="F156" si="76">SUM(F157:F160)</f>
        <v>3000</v>
      </c>
      <c r="G156" s="72">
        <f t="shared" ref="G156:J156" si="77">SUM(G157:G160)</f>
        <v>3000</v>
      </c>
      <c r="H156" s="72">
        <f t="shared" si="77"/>
        <v>4000</v>
      </c>
      <c r="I156" s="72">
        <f t="shared" si="77"/>
        <v>4000</v>
      </c>
      <c r="J156" s="72">
        <f t="shared" si="77"/>
        <v>4000</v>
      </c>
      <c r="K156" s="72">
        <f t="shared" ref="K156:M156" si="78">SUM(K157:K160)</f>
        <v>4000</v>
      </c>
      <c r="L156" s="72">
        <f t="shared" si="78"/>
        <v>4000</v>
      </c>
      <c r="M156" s="72">
        <f t="shared" si="78"/>
        <v>4000</v>
      </c>
    </row>
    <row r="157" spans="1:13" outlineLevel="7">
      <c r="A157" s="8" t="s">
        <v>154</v>
      </c>
      <c r="B157" s="120"/>
      <c r="C157" s="124"/>
      <c r="D157" s="101"/>
      <c r="E157" s="23"/>
      <c r="F157" s="67"/>
      <c r="G157" s="66"/>
      <c r="H157" s="67"/>
      <c r="I157" s="67"/>
      <c r="J157" s="67"/>
      <c r="K157" s="67"/>
      <c r="L157" s="67"/>
      <c r="M157" s="67"/>
    </row>
    <row r="158" spans="1:13" outlineLevel="7">
      <c r="A158" s="8" t="s">
        <v>155</v>
      </c>
      <c r="B158" s="120"/>
      <c r="C158" s="124"/>
      <c r="D158" s="101"/>
      <c r="E158" s="23"/>
      <c r="F158" s="67"/>
      <c r="G158" s="66"/>
      <c r="H158" s="67"/>
      <c r="I158" s="67"/>
      <c r="J158" s="67"/>
      <c r="K158" s="67"/>
      <c r="L158" s="67"/>
      <c r="M158" s="67"/>
    </row>
    <row r="159" spans="1:13" outlineLevel="7">
      <c r="A159" s="8"/>
      <c r="B159" s="120"/>
      <c r="C159" s="124"/>
      <c r="D159" s="101"/>
      <c r="E159" s="23"/>
      <c r="F159" s="67"/>
      <c r="G159" s="66"/>
      <c r="H159" s="67"/>
      <c r="I159" s="67"/>
      <c r="J159" s="67"/>
      <c r="K159" s="67"/>
      <c r="L159" s="67"/>
      <c r="M159" s="67"/>
    </row>
    <row r="160" spans="1:13" outlineLevel="7">
      <c r="A160" s="8" t="s">
        <v>156</v>
      </c>
      <c r="B160" s="120"/>
      <c r="C160" s="124"/>
      <c r="D160" s="101"/>
      <c r="E160" s="23"/>
      <c r="F160" s="67">
        <v>3000</v>
      </c>
      <c r="G160" s="66">
        <v>3000</v>
      </c>
      <c r="H160" s="67">
        <v>4000</v>
      </c>
      <c r="I160" s="67">
        <v>4000</v>
      </c>
      <c r="J160" s="67">
        <v>4000</v>
      </c>
      <c r="K160" s="67">
        <v>4000</v>
      </c>
      <c r="L160" s="67">
        <v>4000</v>
      </c>
      <c r="M160" s="67">
        <v>4000</v>
      </c>
    </row>
    <row r="161" spans="1:13" outlineLevel="7">
      <c r="A161" s="7" t="s">
        <v>67</v>
      </c>
      <c r="B161" s="17" t="s">
        <v>36</v>
      </c>
      <c r="C161" s="40" t="s">
        <v>157</v>
      </c>
      <c r="D161" s="17" t="s">
        <v>22</v>
      </c>
      <c r="E161" s="17" t="s">
        <v>58</v>
      </c>
      <c r="F161" s="62">
        <f>SUM(F162:F172)</f>
        <v>325588.51999999996</v>
      </c>
      <c r="G161" s="62">
        <f>SUM(G162:G172)</f>
        <v>118173.6</v>
      </c>
      <c r="H161" s="62">
        <f t="shared" ref="H161:J161" si="79">SUM(H162:H172)</f>
        <v>539048.44999999995</v>
      </c>
      <c r="I161" s="62">
        <f t="shared" si="79"/>
        <v>552652</v>
      </c>
      <c r="J161" s="62">
        <f t="shared" si="79"/>
        <v>430652</v>
      </c>
      <c r="K161" s="62">
        <f t="shared" ref="K161:M161" si="80">SUM(K162:K172)</f>
        <v>539048.44999999995</v>
      </c>
      <c r="L161" s="62">
        <f t="shared" si="80"/>
        <v>552652</v>
      </c>
      <c r="M161" s="62">
        <f t="shared" si="80"/>
        <v>430652</v>
      </c>
    </row>
    <row r="162" spans="1:13" outlineLevel="7">
      <c r="A162" s="8" t="s">
        <v>194</v>
      </c>
      <c r="B162" s="23"/>
      <c r="C162" s="176"/>
      <c r="D162" s="23"/>
      <c r="E162" s="23"/>
      <c r="F162" s="184">
        <f>39394+60000</f>
        <v>99394</v>
      </c>
      <c r="G162" s="66"/>
      <c r="H162" s="184">
        <v>150000</v>
      </c>
      <c r="I162" s="184">
        <v>150000</v>
      </c>
      <c r="J162" s="184">
        <v>150000</v>
      </c>
      <c r="K162" s="184">
        <v>150000</v>
      </c>
      <c r="L162" s="184">
        <v>150000</v>
      </c>
      <c r="M162" s="184">
        <v>150000</v>
      </c>
    </row>
    <row r="163" spans="1:13" outlineLevel="7">
      <c r="A163" s="8" t="s">
        <v>279</v>
      </c>
      <c r="B163" s="23"/>
      <c r="C163" s="176"/>
      <c r="D163" s="23"/>
      <c r="E163" s="23"/>
      <c r="F163" s="184">
        <f>15252+8204</f>
        <v>23456</v>
      </c>
      <c r="G163" s="66"/>
      <c r="H163" s="184"/>
      <c r="I163" s="184"/>
      <c r="J163" s="184"/>
      <c r="K163" s="184"/>
      <c r="L163" s="184"/>
      <c r="M163" s="184"/>
    </row>
    <row r="164" spans="1:13" outlineLevel="7">
      <c r="A164" s="8" t="s">
        <v>274</v>
      </c>
      <c r="B164" s="23"/>
      <c r="C164" s="176"/>
      <c r="D164" s="23"/>
      <c r="E164" s="23"/>
      <c r="F164" s="66">
        <f>16080+15000</f>
        <v>31080</v>
      </c>
      <c r="G164" s="66">
        <f>16080+15000</f>
        <v>31080</v>
      </c>
      <c r="H164" s="184"/>
      <c r="I164" s="184"/>
      <c r="J164" s="184"/>
      <c r="K164" s="184"/>
      <c r="L164" s="184"/>
      <c r="M164" s="184"/>
    </row>
    <row r="165" spans="1:13" ht="25.5" outlineLevel="7">
      <c r="A165" s="8" t="s">
        <v>278</v>
      </c>
      <c r="B165" s="23"/>
      <c r="C165" s="176"/>
      <c r="D165" s="23"/>
      <c r="E165" s="23"/>
      <c r="F165" s="66">
        <v>73722</v>
      </c>
      <c r="G165" s="66"/>
      <c r="H165" s="184"/>
      <c r="I165" s="184"/>
      <c r="J165" s="184"/>
      <c r="K165" s="184"/>
      <c r="L165" s="184"/>
      <c r="M165" s="184"/>
    </row>
    <row r="166" spans="1:13" outlineLevel="7">
      <c r="A166" s="9" t="s">
        <v>253</v>
      </c>
      <c r="B166" s="25"/>
      <c r="C166" s="26"/>
      <c r="D166" s="25"/>
      <c r="E166" s="25"/>
      <c r="F166" s="67"/>
      <c r="G166" s="66"/>
      <c r="H166" s="67">
        <v>49140</v>
      </c>
      <c r="I166" s="67">
        <v>49140</v>
      </c>
      <c r="J166" s="67">
        <v>49140</v>
      </c>
      <c r="K166" s="67">
        <v>49140</v>
      </c>
      <c r="L166" s="67">
        <v>49140</v>
      </c>
      <c r="M166" s="67">
        <v>49140</v>
      </c>
    </row>
    <row r="167" spans="1:13" ht="25.5" outlineLevel="7">
      <c r="A167" s="9" t="s">
        <v>275</v>
      </c>
      <c r="B167" s="23"/>
      <c r="C167" s="24"/>
      <c r="D167" s="23"/>
      <c r="E167" s="23"/>
      <c r="F167" s="66">
        <v>21237.599999999999</v>
      </c>
      <c r="G167" s="66">
        <v>21237.599999999999</v>
      </c>
      <c r="H167" s="203">
        <v>86396.45</v>
      </c>
      <c r="I167" s="203">
        <v>100000</v>
      </c>
      <c r="J167" s="67"/>
      <c r="K167" s="203">
        <v>86396.45</v>
      </c>
      <c r="L167" s="203">
        <v>100000</v>
      </c>
      <c r="M167" s="67"/>
    </row>
    <row r="168" spans="1:13" ht="16.5" customHeight="1" outlineLevel="7">
      <c r="A168" s="8" t="s">
        <v>254</v>
      </c>
      <c r="B168" s="23"/>
      <c r="C168" s="24"/>
      <c r="D168" s="23"/>
      <c r="E168" s="23"/>
      <c r="F168" s="66">
        <v>57786</v>
      </c>
      <c r="G168" s="66">
        <v>57786</v>
      </c>
      <c r="H168" s="67">
        <v>91512</v>
      </c>
      <c r="I168" s="67">
        <v>91512</v>
      </c>
      <c r="J168" s="67">
        <v>91512</v>
      </c>
      <c r="K168" s="67">
        <v>91512</v>
      </c>
      <c r="L168" s="67">
        <v>91512</v>
      </c>
      <c r="M168" s="67">
        <v>91512</v>
      </c>
    </row>
    <row r="169" spans="1:13" outlineLevel="7">
      <c r="A169" s="8" t="s">
        <v>277</v>
      </c>
      <c r="B169" s="23"/>
      <c r="C169" s="24"/>
      <c r="D169" s="23"/>
      <c r="E169" s="23"/>
      <c r="F169" s="67">
        <f>5857.31+4985.61</f>
        <v>10842.92</v>
      </c>
      <c r="G169" s="66"/>
      <c r="H169" s="67">
        <v>70000</v>
      </c>
      <c r="I169" s="67">
        <v>70000</v>
      </c>
      <c r="J169" s="67">
        <v>70000</v>
      </c>
      <c r="K169" s="67">
        <v>70000</v>
      </c>
      <c r="L169" s="67">
        <v>70000</v>
      </c>
      <c r="M169" s="67">
        <v>70000</v>
      </c>
    </row>
    <row r="170" spans="1:13" outlineLevel="7">
      <c r="A170" s="8" t="s">
        <v>255</v>
      </c>
      <c r="B170" s="23"/>
      <c r="C170" s="24"/>
      <c r="D170" s="23"/>
      <c r="E170" s="23"/>
      <c r="F170" s="67"/>
      <c r="G170" s="66"/>
      <c r="H170" s="67">
        <v>20000</v>
      </c>
      <c r="I170" s="67">
        <v>20000</v>
      </c>
      <c r="J170" s="67"/>
      <c r="K170" s="67">
        <v>20000</v>
      </c>
      <c r="L170" s="67">
        <v>20000</v>
      </c>
      <c r="M170" s="67"/>
    </row>
    <row r="171" spans="1:13" outlineLevel="7">
      <c r="A171" s="8" t="s">
        <v>256</v>
      </c>
      <c r="B171" s="23"/>
      <c r="C171" s="24"/>
      <c r="D171" s="23"/>
      <c r="E171" s="23"/>
      <c r="F171" s="67"/>
      <c r="G171" s="66"/>
      <c r="H171" s="67">
        <v>70000</v>
      </c>
      <c r="I171" s="67">
        <v>70000</v>
      </c>
      <c r="J171" s="67">
        <v>70000</v>
      </c>
      <c r="K171" s="67">
        <v>70000</v>
      </c>
      <c r="L171" s="67">
        <v>70000</v>
      </c>
      <c r="M171" s="67">
        <v>70000</v>
      </c>
    </row>
    <row r="172" spans="1:13" outlineLevel="4">
      <c r="A172" s="8" t="s">
        <v>276</v>
      </c>
      <c r="B172" s="23"/>
      <c r="C172" s="24"/>
      <c r="D172" s="23"/>
      <c r="E172" s="23"/>
      <c r="F172" s="66">
        <f>8070</f>
        <v>8070</v>
      </c>
      <c r="G172" s="66">
        <f>8070</f>
        <v>8070</v>
      </c>
      <c r="H172" s="75">
        <v>2000</v>
      </c>
      <c r="I172" s="75">
        <v>2000</v>
      </c>
      <c r="J172" s="75"/>
      <c r="K172" s="75">
        <v>2000</v>
      </c>
      <c r="L172" s="75">
        <v>2000</v>
      </c>
      <c r="M172" s="75"/>
    </row>
    <row r="173" spans="1:13" ht="25.5" outlineLevel="4">
      <c r="A173" s="139" t="s">
        <v>217</v>
      </c>
      <c r="B173" s="190" t="s">
        <v>36</v>
      </c>
      <c r="C173" s="191" t="s">
        <v>218</v>
      </c>
      <c r="D173" s="192" t="s">
        <v>22</v>
      </c>
      <c r="E173" s="147"/>
      <c r="F173" s="72">
        <f t="shared" ref="F173" si="81">SUM(F174:F176)</f>
        <v>0</v>
      </c>
      <c r="G173" s="72">
        <f t="shared" ref="G173:J173" si="82">SUM(G174:G176)</f>
        <v>0</v>
      </c>
      <c r="H173" s="72">
        <f t="shared" si="82"/>
        <v>0</v>
      </c>
      <c r="I173" s="72">
        <f t="shared" si="82"/>
        <v>0</v>
      </c>
      <c r="J173" s="72">
        <f t="shared" si="82"/>
        <v>0</v>
      </c>
      <c r="K173" s="72">
        <f t="shared" ref="K173:M173" si="83">SUM(K174:K176)</f>
        <v>0</v>
      </c>
      <c r="L173" s="72">
        <f t="shared" si="83"/>
        <v>0</v>
      </c>
      <c r="M173" s="72">
        <f t="shared" si="83"/>
        <v>0</v>
      </c>
    </row>
    <row r="174" spans="1:13" outlineLevel="4">
      <c r="A174" s="9" t="s">
        <v>219</v>
      </c>
      <c r="B174" s="185" t="s">
        <v>36</v>
      </c>
      <c r="C174" s="187" t="s">
        <v>218</v>
      </c>
      <c r="D174" s="186" t="s">
        <v>22</v>
      </c>
      <c r="E174" s="25" t="s">
        <v>176</v>
      </c>
      <c r="F174" s="75">
        <v>0</v>
      </c>
      <c r="G174" s="66"/>
      <c r="H174" s="75"/>
      <c r="I174" s="75"/>
      <c r="J174" s="75"/>
      <c r="K174" s="75"/>
      <c r="L174" s="75"/>
      <c r="M174" s="75"/>
    </row>
    <row r="175" spans="1:13" outlineLevel="4">
      <c r="A175" s="9" t="s">
        <v>220</v>
      </c>
      <c r="B175" s="185" t="s">
        <v>36</v>
      </c>
      <c r="C175" s="187" t="s">
        <v>218</v>
      </c>
      <c r="D175" s="186" t="s">
        <v>22</v>
      </c>
      <c r="E175" s="25" t="s">
        <v>82</v>
      </c>
      <c r="F175" s="75">
        <v>0</v>
      </c>
      <c r="G175" s="66"/>
      <c r="H175" s="75"/>
      <c r="I175" s="75"/>
      <c r="J175" s="75"/>
      <c r="K175" s="75"/>
      <c r="L175" s="75"/>
      <c r="M175" s="75"/>
    </row>
    <row r="176" spans="1:13" outlineLevel="4">
      <c r="A176" s="8"/>
      <c r="B176" s="120"/>
      <c r="C176" s="124"/>
      <c r="D176" s="101"/>
      <c r="E176" s="23"/>
      <c r="F176" s="75"/>
      <c r="G176" s="66"/>
      <c r="H176" s="75"/>
      <c r="I176" s="75"/>
      <c r="J176" s="75"/>
      <c r="K176" s="75"/>
      <c r="L176" s="75"/>
      <c r="M176" s="75"/>
    </row>
    <row r="177" spans="1:13" outlineLevel="7">
      <c r="A177" s="7" t="s">
        <v>69</v>
      </c>
      <c r="B177" s="17" t="s">
        <v>36</v>
      </c>
      <c r="C177" s="40" t="s">
        <v>159</v>
      </c>
      <c r="D177" s="17" t="s">
        <v>22</v>
      </c>
      <c r="E177" s="17" t="s">
        <v>58</v>
      </c>
      <c r="F177" s="62">
        <f t="shared" ref="F177:M177" si="84">SUM(F178)</f>
        <v>0</v>
      </c>
      <c r="G177" s="62">
        <f t="shared" si="84"/>
        <v>0</v>
      </c>
      <c r="H177" s="62">
        <f t="shared" si="84"/>
        <v>0</v>
      </c>
      <c r="I177" s="62">
        <f t="shared" si="84"/>
        <v>0</v>
      </c>
      <c r="J177" s="62">
        <f t="shared" si="84"/>
        <v>0</v>
      </c>
      <c r="K177" s="62">
        <f t="shared" si="84"/>
        <v>0</v>
      </c>
      <c r="L177" s="62">
        <f t="shared" si="84"/>
        <v>0</v>
      </c>
      <c r="M177" s="62">
        <f t="shared" si="84"/>
        <v>0</v>
      </c>
    </row>
    <row r="178" spans="1:13" ht="25.5" outlineLevel="7">
      <c r="A178" s="8" t="s">
        <v>38</v>
      </c>
      <c r="B178" s="23"/>
      <c r="C178" s="46"/>
      <c r="D178" s="23"/>
      <c r="E178" s="23"/>
      <c r="F178" s="67"/>
      <c r="G178" s="66"/>
      <c r="H178" s="67"/>
      <c r="I178" s="67"/>
      <c r="J178" s="67"/>
      <c r="K178" s="67"/>
      <c r="L178" s="67"/>
      <c r="M178" s="67"/>
    </row>
    <row r="179" spans="1:13" ht="33.75" customHeight="1" outlineLevel="7">
      <c r="A179" s="128" t="s">
        <v>225</v>
      </c>
      <c r="B179" s="17"/>
      <c r="C179" s="40" t="s">
        <v>184</v>
      </c>
      <c r="D179" s="121"/>
      <c r="E179" s="17"/>
      <c r="F179" s="62">
        <f>F180+F185+F190+F195</f>
        <v>1535360</v>
      </c>
      <c r="G179" s="62">
        <f t="shared" ref="G179:J179" si="85">G180+G185+G190+G195</f>
        <v>0</v>
      </c>
      <c r="H179" s="62">
        <f t="shared" si="85"/>
        <v>302355</v>
      </c>
      <c r="I179" s="62">
        <f t="shared" si="85"/>
        <v>887165</v>
      </c>
      <c r="J179" s="62">
        <f t="shared" si="85"/>
        <v>366613</v>
      </c>
      <c r="K179" s="62">
        <f t="shared" ref="K179:M179" si="86">K180+K185+K190+K195</f>
        <v>302355</v>
      </c>
      <c r="L179" s="62">
        <f t="shared" si="86"/>
        <v>1742858</v>
      </c>
      <c r="M179" s="62">
        <f t="shared" si="86"/>
        <v>366613</v>
      </c>
    </row>
    <row r="180" spans="1:13" outlineLevel="7">
      <c r="A180" s="199" t="s">
        <v>221</v>
      </c>
      <c r="B180" s="185"/>
      <c r="C180" s="187"/>
      <c r="D180" s="186"/>
      <c r="E180" s="25"/>
      <c r="F180" s="67">
        <f t="shared" ref="F180" si="87">SUM(F181:F184)</f>
        <v>1535360</v>
      </c>
      <c r="G180" s="66"/>
      <c r="H180" s="67">
        <f t="shared" ref="H180:J180" si="88">SUM(H181:H184)</f>
        <v>0</v>
      </c>
      <c r="I180" s="67">
        <f t="shared" si="88"/>
        <v>0</v>
      </c>
      <c r="J180" s="67">
        <f t="shared" si="88"/>
        <v>0</v>
      </c>
      <c r="K180" s="67">
        <f t="shared" ref="K180:M180" si="89">SUM(K181:K184)</f>
        <v>0</v>
      </c>
      <c r="L180" s="67">
        <f t="shared" si="89"/>
        <v>0</v>
      </c>
      <c r="M180" s="67">
        <f t="shared" si="89"/>
        <v>0</v>
      </c>
    </row>
    <row r="181" spans="1:13" outlineLevel="7">
      <c r="A181" s="9" t="s">
        <v>171</v>
      </c>
      <c r="B181" s="142" t="s">
        <v>36</v>
      </c>
      <c r="C181" s="193" t="s">
        <v>247</v>
      </c>
      <c r="D181" s="140" t="s">
        <v>22</v>
      </c>
      <c r="E181" s="25" t="s">
        <v>176</v>
      </c>
      <c r="F181" s="67">
        <v>1169097</v>
      </c>
      <c r="G181" s="66"/>
      <c r="H181" s="67"/>
      <c r="I181" s="67"/>
      <c r="J181" s="67"/>
      <c r="K181" s="67"/>
      <c r="L181" s="67"/>
      <c r="M181" s="67"/>
    </row>
    <row r="182" spans="1:13" outlineLevel="7">
      <c r="A182" s="9" t="s">
        <v>185</v>
      </c>
      <c r="B182" s="142" t="s">
        <v>36</v>
      </c>
      <c r="C182" s="193" t="s">
        <v>247</v>
      </c>
      <c r="D182" s="140" t="s">
        <v>22</v>
      </c>
      <c r="E182" s="25" t="s">
        <v>82</v>
      </c>
      <c r="F182" s="67">
        <v>366263</v>
      </c>
      <c r="G182" s="66"/>
      <c r="H182" s="67"/>
      <c r="I182" s="67"/>
      <c r="J182" s="67"/>
      <c r="K182" s="67"/>
      <c r="L182" s="67"/>
      <c r="M182" s="67"/>
    </row>
    <row r="183" spans="1:13" outlineLevel="7">
      <c r="A183" s="9" t="s">
        <v>173</v>
      </c>
      <c r="B183" s="142" t="s">
        <v>36</v>
      </c>
      <c r="C183" s="193" t="s">
        <v>247</v>
      </c>
      <c r="D183" s="140" t="s">
        <v>22</v>
      </c>
      <c r="E183" s="25" t="s">
        <v>46</v>
      </c>
      <c r="F183" s="67"/>
      <c r="G183" s="66"/>
      <c r="H183" s="67"/>
      <c r="I183" s="67"/>
      <c r="J183" s="67"/>
      <c r="K183" s="67"/>
      <c r="L183" s="67"/>
      <c r="M183" s="67"/>
    </row>
    <row r="184" spans="1:13" outlineLevel="7">
      <c r="A184" s="194" t="s">
        <v>174</v>
      </c>
      <c r="B184" s="142" t="s">
        <v>36</v>
      </c>
      <c r="C184" s="193" t="s">
        <v>247</v>
      </c>
      <c r="D184" s="140" t="s">
        <v>22</v>
      </c>
      <c r="E184" s="25" t="s">
        <v>82</v>
      </c>
      <c r="F184" s="67"/>
      <c r="G184" s="66"/>
      <c r="H184" s="67"/>
      <c r="I184" s="67"/>
      <c r="J184" s="67"/>
      <c r="K184" s="67"/>
      <c r="L184" s="67"/>
      <c r="M184" s="67"/>
    </row>
    <row r="185" spans="1:13" ht="25.5" outlineLevel="7">
      <c r="A185" s="199" t="s">
        <v>251</v>
      </c>
      <c r="B185" s="185"/>
      <c r="C185" s="187"/>
      <c r="D185" s="186"/>
      <c r="E185" s="25"/>
      <c r="F185" s="67">
        <f t="shared" ref="F185" si="90">SUM(F186:F189)</f>
        <v>0</v>
      </c>
      <c r="G185" s="66"/>
      <c r="H185" s="67">
        <f t="shared" ref="H185:J185" si="91">SUM(H186:H189)</f>
        <v>302355</v>
      </c>
      <c r="I185" s="67">
        <f t="shared" si="91"/>
        <v>0</v>
      </c>
      <c r="J185" s="67">
        <f t="shared" si="91"/>
        <v>0</v>
      </c>
      <c r="K185" s="67">
        <f t="shared" ref="K185:M185" si="92">SUM(K186:K189)</f>
        <v>302355</v>
      </c>
      <c r="L185" s="67">
        <f t="shared" si="92"/>
        <v>0</v>
      </c>
      <c r="M185" s="67">
        <f t="shared" si="92"/>
        <v>0</v>
      </c>
    </row>
    <row r="186" spans="1:13" outlineLevel="7">
      <c r="A186" s="9" t="s">
        <v>171</v>
      </c>
      <c r="B186" s="142" t="s">
        <v>31</v>
      </c>
      <c r="C186" s="193" t="s">
        <v>247</v>
      </c>
      <c r="D186" s="140" t="s">
        <v>22</v>
      </c>
      <c r="E186" s="25" t="s">
        <v>176</v>
      </c>
      <c r="F186" s="67"/>
      <c r="G186" s="66"/>
      <c r="H186" s="67"/>
      <c r="I186" s="67"/>
      <c r="J186" s="67"/>
      <c r="K186" s="67"/>
      <c r="L186" s="67"/>
      <c r="M186" s="67"/>
    </row>
    <row r="187" spans="1:13" outlineLevel="7">
      <c r="A187" s="9" t="s">
        <v>185</v>
      </c>
      <c r="B187" s="142" t="s">
        <v>31</v>
      </c>
      <c r="C187" s="193" t="s">
        <v>247</v>
      </c>
      <c r="D187" s="140" t="s">
        <v>22</v>
      </c>
      <c r="E187" s="25" t="s">
        <v>82</v>
      </c>
      <c r="F187" s="67"/>
      <c r="G187" s="66"/>
      <c r="H187" s="67">
        <v>277355</v>
      </c>
      <c r="I187" s="67"/>
      <c r="J187" s="67"/>
      <c r="K187" s="67">
        <v>277355</v>
      </c>
      <c r="L187" s="67"/>
      <c r="M187" s="67"/>
    </row>
    <row r="188" spans="1:13" outlineLevel="7">
      <c r="A188" s="9" t="s">
        <v>173</v>
      </c>
      <c r="B188" s="142" t="s">
        <v>31</v>
      </c>
      <c r="C188" s="193" t="s">
        <v>247</v>
      </c>
      <c r="D188" s="140" t="s">
        <v>22</v>
      </c>
      <c r="E188" s="25" t="s">
        <v>46</v>
      </c>
      <c r="F188" s="67"/>
      <c r="G188" s="66"/>
      <c r="H188" s="67"/>
      <c r="I188" s="67"/>
      <c r="J188" s="67"/>
      <c r="K188" s="67"/>
      <c r="L188" s="67"/>
      <c r="M188" s="67"/>
    </row>
    <row r="189" spans="1:13" outlineLevel="7">
      <c r="A189" s="194" t="s">
        <v>174</v>
      </c>
      <c r="B189" s="142" t="s">
        <v>31</v>
      </c>
      <c r="C189" s="193" t="s">
        <v>247</v>
      </c>
      <c r="D189" s="140" t="s">
        <v>22</v>
      </c>
      <c r="E189" s="25" t="s">
        <v>82</v>
      </c>
      <c r="F189" s="67"/>
      <c r="G189" s="66"/>
      <c r="H189" s="203">
        <v>25000</v>
      </c>
      <c r="I189" s="67"/>
      <c r="J189" s="67"/>
      <c r="K189" s="203">
        <v>25000</v>
      </c>
      <c r="L189" s="67"/>
      <c r="M189" s="67"/>
    </row>
    <row r="190" spans="1:13" outlineLevel="7">
      <c r="A190" s="199" t="s">
        <v>250</v>
      </c>
      <c r="B190" s="185"/>
      <c r="C190" s="187"/>
      <c r="D190" s="186"/>
      <c r="E190" s="25"/>
      <c r="F190" s="67">
        <f t="shared" ref="F190" si="93">SUM(F191:F194)</f>
        <v>0</v>
      </c>
      <c r="G190" s="66"/>
      <c r="H190" s="67">
        <f t="shared" ref="H190:J190" si="94">SUM(H191:H194)</f>
        <v>0</v>
      </c>
      <c r="I190" s="67">
        <f t="shared" si="94"/>
        <v>887165</v>
      </c>
      <c r="J190" s="67">
        <f t="shared" si="94"/>
        <v>0</v>
      </c>
      <c r="K190" s="67">
        <f t="shared" ref="K190:M190" si="95">SUM(K191:K194)</f>
        <v>0</v>
      </c>
      <c r="L190" s="228">
        <f t="shared" si="95"/>
        <v>1742858</v>
      </c>
      <c r="M190" s="67">
        <f t="shared" si="95"/>
        <v>0</v>
      </c>
    </row>
    <row r="191" spans="1:13" outlineLevel="7">
      <c r="A191" s="9" t="s">
        <v>171</v>
      </c>
      <c r="B191" s="142" t="s">
        <v>31</v>
      </c>
      <c r="C191" s="193" t="s">
        <v>247</v>
      </c>
      <c r="D191" s="140" t="s">
        <v>22</v>
      </c>
      <c r="E191" s="25" t="s">
        <v>176</v>
      </c>
      <c r="F191" s="67"/>
      <c r="G191" s="66"/>
      <c r="H191" s="67"/>
      <c r="I191" s="203"/>
      <c r="J191" s="67"/>
      <c r="K191" s="67"/>
      <c r="L191" s="228">
        <v>1220000</v>
      </c>
      <c r="M191" s="67"/>
    </row>
    <row r="192" spans="1:13" outlineLevel="7">
      <c r="A192" s="9" t="s">
        <v>185</v>
      </c>
      <c r="B192" s="142" t="s">
        <v>31</v>
      </c>
      <c r="C192" s="193" t="s">
        <v>247</v>
      </c>
      <c r="D192" s="140" t="s">
        <v>22</v>
      </c>
      <c r="E192" s="25" t="s">
        <v>82</v>
      </c>
      <c r="F192" s="67"/>
      <c r="G192" s="66"/>
      <c r="H192" s="67"/>
      <c r="I192" s="67">
        <v>857165</v>
      </c>
      <c r="J192" s="67"/>
      <c r="K192" s="67"/>
      <c r="L192" s="228">
        <v>505429</v>
      </c>
      <c r="M192" s="67"/>
    </row>
    <row r="193" spans="1:13" outlineLevel="7">
      <c r="A193" s="9" t="s">
        <v>173</v>
      </c>
      <c r="B193" s="142" t="s">
        <v>31</v>
      </c>
      <c r="C193" s="193" t="s">
        <v>247</v>
      </c>
      <c r="D193" s="140" t="s">
        <v>22</v>
      </c>
      <c r="E193" s="25" t="s">
        <v>46</v>
      </c>
      <c r="F193" s="67"/>
      <c r="G193" s="66"/>
      <c r="H193" s="67"/>
      <c r="I193" s="67"/>
      <c r="J193" s="67"/>
      <c r="K193" s="67"/>
      <c r="L193" s="228"/>
      <c r="M193" s="67"/>
    </row>
    <row r="194" spans="1:13" outlineLevel="7">
      <c r="A194" s="194" t="s">
        <v>174</v>
      </c>
      <c r="B194" s="142" t="s">
        <v>31</v>
      </c>
      <c r="C194" s="193" t="s">
        <v>247</v>
      </c>
      <c r="D194" s="140" t="s">
        <v>22</v>
      </c>
      <c r="E194" s="25" t="s">
        <v>82</v>
      </c>
      <c r="F194" s="67"/>
      <c r="G194" s="66"/>
      <c r="H194" s="67"/>
      <c r="I194" s="203">
        <v>30000</v>
      </c>
      <c r="J194" s="67"/>
      <c r="K194" s="67"/>
      <c r="L194" s="228">
        <v>17429</v>
      </c>
      <c r="M194" s="67"/>
    </row>
    <row r="195" spans="1:13" outlineLevel="7">
      <c r="A195" s="199" t="s">
        <v>249</v>
      </c>
      <c r="B195" s="185"/>
      <c r="C195" s="187"/>
      <c r="D195" s="186"/>
      <c r="E195" s="25"/>
      <c r="F195" s="67">
        <f t="shared" ref="F195" si="96">SUM(F196:F199)</f>
        <v>0</v>
      </c>
      <c r="G195" s="66"/>
      <c r="H195" s="67">
        <f t="shared" ref="H195:J195" si="97">SUM(H196:H199)</f>
        <v>0</v>
      </c>
      <c r="I195" s="67">
        <f t="shared" si="97"/>
        <v>0</v>
      </c>
      <c r="J195" s="67">
        <f t="shared" si="97"/>
        <v>366613</v>
      </c>
      <c r="K195" s="67">
        <f t="shared" ref="K195:M195" si="98">SUM(K196:K199)</f>
        <v>0</v>
      </c>
      <c r="L195" s="67">
        <f t="shared" si="98"/>
        <v>0</v>
      </c>
      <c r="M195" s="67">
        <f t="shared" si="98"/>
        <v>366613</v>
      </c>
    </row>
    <row r="196" spans="1:13" outlineLevel="7">
      <c r="A196" s="9" t="s">
        <v>171</v>
      </c>
      <c r="B196" s="142" t="s">
        <v>31</v>
      </c>
      <c r="C196" s="193" t="s">
        <v>247</v>
      </c>
      <c r="D196" s="140" t="s">
        <v>22</v>
      </c>
      <c r="E196" s="25" t="s">
        <v>176</v>
      </c>
      <c r="F196" s="67"/>
      <c r="G196" s="66"/>
      <c r="H196" s="67"/>
      <c r="I196" s="67"/>
      <c r="J196" s="203"/>
      <c r="K196" s="67"/>
      <c r="L196" s="67"/>
      <c r="M196" s="203"/>
    </row>
    <row r="197" spans="1:13" outlineLevel="7">
      <c r="A197" s="9" t="s">
        <v>185</v>
      </c>
      <c r="B197" s="142" t="s">
        <v>31</v>
      </c>
      <c r="C197" s="193" t="s">
        <v>247</v>
      </c>
      <c r="D197" s="140" t="s">
        <v>22</v>
      </c>
      <c r="E197" s="25" t="s">
        <v>82</v>
      </c>
      <c r="F197" s="67"/>
      <c r="G197" s="66"/>
      <c r="H197" s="67"/>
      <c r="I197" s="67"/>
      <c r="J197" s="67">
        <v>351613</v>
      </c>
      <c r="K197" s="67"/>
      <c r="L197" s="67"/>
      <c r="M197" s="67">
        <v>351613</v>
      </c>
    </row>
    <row r="198" spans="1:13" outlineLevel="7">
      <c r="A198" s="9" t="s">
        <v>173</v>
      </c>
      <c r="B198" s="142" t="s">
        <v>31</v>
      </c>
      <c r="C198" s="193" t="s">
        <v>247</v>
      </c>
      <c r="D198" s="140" t="s">
        <v>22</v>
      </c>
      <c r="E198" s="25" t="s">
        <v>46</v>
      </c>
      <c r="F198" s="67"/>
      <c r="G198" s="66"/>
      <c r="H198" s="67"/>
      <c r="I198" s="67"/>
      <c r="J198" s="67"/>
      <c r="K198" s="67"/>
      <c r="L198" s="67"/>
      <c r="M198" s="67"/>
    </row>
    <row r="199" spans="1:13" outlineLevel="7">
      <c r="A199" s="194" t="s">
        <v>174</v>
      </c>
      <c r="B199" s="142" t="s">
        <v>31</v>
      </c>
      <c r="C199" s="193" t="s">
        <v>247</v>
      </c>
      <c r="D199" s="140" t="s">
        <v>22</v>
      </c>
      <c r="E199" s="25" t="s">
        <v>82</v>
      </c>
      <c r="F199" s="67"/>
      <c r="G199" s="66"/>
      <c r="H199" s="67"/>
      <c r="I199" s="67"/>
      <c r="J199" s="203">
        <v>15000</v>
      </c>
      <c r="K199" s="67"/>
      <c r="L199" s="67"/>
      <c r="M199" s="203">
        <v>15000</v>
      </c>
    </row>
    <row r="200" spans="1:13" ht="31.5" outlineLevel="7">
      <c r="A200" s="128" t="s">
        <v>175</v>
      </c>
      <c r="B200" s="169" t="s">
        <v>36</v>
      </c>
      <c r="C200" s="40"/>
      <c r="D200" s="169" t="s">
        <v>22</v>
      </c>
      <c r="E200" s="170"/>
      <c r="F200" s="171">
        <f>F201+F206+F211</f>
        <v>783131.47</v>
      </c>
      <c r="G200" s="171">
        <f t="shared" ref="G200:J200" si="99">G201+G206+G211</f>
        <v>0</v>
      </c>
      <c r="H200" s="171">
        <f t="shared" si="99"/>
        <v>77778</v>
      </c>
      <c r="I200" s="171">
        <f t="shared" si="99"/>
        <v>77778</v>
      </c>
      <c r="J200" s="171">
        <f t="shared" si="99"/>
        <v>77778</v>
      </c>
      <c r="K200" s="171">
        <f t="shared" ref="K200:M200" si="100">K201+K206+K211</f>
        <v>77778</v>
      </c>
      <c r="L200" s="171">
        <f t="shared" si="100"/>
        <v>77778</v>
      </c>
      <c r="M200" s="171">
        <f t="shared" si="100"/>
        <v>77778</v>
      </c>
    </row>
    <row r="201" spans="1:13" ht="18.75" customHeight="1" outlineLevel="7">
      <c r="A201" s="206" t="s">
        <v>258</v>
      </c>
      <c r="B201" s="164"/>
      <c r="C201" s="165"/>
      <c r="D201" s="166"/>
      <c r="E201" s="167"/>
      <c r="F201" s="168">
        <f t="shared" ref="F201" si="101">SUM(F202:F205)</f>
        <v>783131.47</v>
      </c>
      <c r="G201" s="168">
        <f t="shared" ref="G201:J201" si="102">SUM(G202:G205)</f>
        <v>0</v>
      </c>
      <c r="H201" s="168">
        <f t="shared" si="102"/>
        <v>77778</v>
      </c>
      <c r="I201" s="168">
        <f t="shared" si="102"/>
        <v>0</v>
      </c>
      <c r="J201" s="168">
        <f t="shared" si="102"/>
        <v>0</v>
      </c>
      <c r="K201" s="168">
        <f t="shared" ref="K201:M201" si="103">SUM(K202:K205)</f>
        <v>77778</v>
      </c>
      <c r="L201" s="168">
        <f t="shared" si="103"/>
        <v>0</v>
      </c>
      <c r="M201" s="168">
        <f t="shared" si="103"/>
        <v>0</v>
      </c>
    </row>
    <row r="202" spans="1:13" outlineLevel="7">
      <c r="A202" s="8" t="s">
        <v>171</v>
      </c>
      <c r="B202" s="35" t="s">
        <v>36</v>
      </c>
      <c r="C202" s="88" t="s">
        <v>222</v>
      </c>
      <c r="D202" s="125" t="s">
        <v>22</v>
      </c>
      <c r="E202" s="23" t="s">
        <v>176</v>
      </c>
      <c r="F202" s="67">
        <v>700000</v>
      </c>
      <c r="G202" s="66"/>
      <c r="H202" s="67"/>
      <c r="I202" s="67"/>
      <c r="J202" s="67"/>
      <c r="K202" s="67"/>
      <c r="L202" s="67"/>
      <c r="M202" s="67"/>
    </row>
    <row r="203" spans="1:13" outlineLevel="7">
      <c r="A203" s="8" t="s">
        <v>172</v>
      </c>
      <c r="B203" s="35" t="s">
        <v>36</v>
      </c>
      <c r="C203" s="88" t="s">
        <v>222</v>
      </c>
      <c r="D203" s="125" t="s">
        <v>22</v>
      </c>
      <c r="E203" s="23" t="s">
        <v>82</v>
      </c>
      <c r="F203" s="67">
        <v>43874.28</v>
      </c>
      <c r="G203" s="66"/>
      <c r="H203" s="67">
        <v>38889</v>
      </c>
      <c r="I203" s="67"/>
      <c r="J203" s="67"/>
      <c r="K203" s="67">
        <v>38889</v>
      </c>
      <c r="L203" s="67"/>
      <c r="M203" s="67"/>
    </row>
    <row r="204" spans="1:13" outlineLevel="7">
      <c r="A204" s="8" t="s">
        <v>173</v>
      </c>
      <c r="B204" s="35" t="s">
        <v>36</v>
      </c>
      <c r="C204" s="88" t="s">
        <v>222</v>
      </c>
      <c r="D204" s="125" t="s">
        <v>22</v>
      </c>
      <c r="E204" s="23" t="s">
        <v>46</v>
      </c>
      <c r="F204" s="67"/>
      <c r="G204" s="66"/>
      <c r="H204" s="67"/>
      <c r="I204" s="67"/>
      <c r="J204" s="67"/>
      <c r="K204" s="67"/>
      <c r="L204" s="67"/>
      <c r="M204" s="67"/>
    </row>
    <row r="205" spans="1:13" outlineLevel="7">
      <c r="A205" s="8" t="s">
        <v>174</v>
      </c>
      <c r="B205" s="35" t="s">
        <v>36</v>
      </c>
      <c r="C205" s="88" t="s">
        <v>222</v>
      </c>
      <c r="D205" s="125" t="s">
        <v>22</v>
      </c>
      <c r="E205" s="23" t="s">
        <v>82</v>
      </c>
      <c r="F205" s="67">
        <v>39257.19</v>
      </c>
      <c r="G205" s="66"/>
      <c r="H205" s="67">
        <v>38889</v>
      </c>
      <c r="I205" s="67"/>
      <c r="J205" s="67"/>
      <c r="K205" s="67">
        <v>38889</v>
      </c>
      <c r="L205" s="67"/>
      <c r="M205" s="67"/>
    </row>
    <row r="206" spans="1:13" ht="27.75" customHeight="1" outlineLevel="7">
      <c r="A206" s="205" t="s">
        <v>259</v>
      </c>
      <c r="B206" s="120"/>
      <c r="C206" s="46"/>
      <c r="D206" s="101"/>
      <c r="E206" s="23"/>
      <c r="F206" s="67">
        <f t="shared" ref="F206:J206" si="104">SUM(F207:F210)</f>
        <v>0</v>
      </c>
      <c r="G206" s="67">
        <f t="shared" si="104"/>
        <v>0</v>
      </c>
      <c r="H206" s="67">
        <f t="shared" si="104"/>
        <v>0</v>
      </c>
      <c r="I206" s="67">
        <f t="shared" si="104"/>
        <v>77778</v>
      </c>
      <c r="J206" s="67">
        <f t="shared" si="104"/>
        <v>0</v>
      </c>
      <c r="K206" s="67">
        <f t="shared" ref="K206:M206" si="105">SUM(K207:K210)</f>
        <v>0</v>
      </c>
      <c r="L206" s="67">
        <f t="shared" si="105"/>
        <v>77778</v>
      </c>
      <c r="M206" s="67">
        <f t="shared" si="105"/>
        <v>0</v>
      </c>
    </row>
    <row r="207" spans="1:13" outlineLevel="7">
      <c r="A207" s="8" t="s">
        <v>171</v>
      </c>
      <c r="B207" s="35" t="s">
        <v>36</v>
      </c>
      <c r="C207" s="88" t="s">
        <v>223</v>
      </c>
      <c r="D207" s="125" t="s">
        <v>22</v>
      </c>
      <c r="E207" s="23" t="s">
        <v>176</v>
      </c>
      <c r="F207" s="67"/>
      <c r="G207" s="66"/>
      <c r="H207" s="67"/>
      <c r="I207" s="67"/>
      <c r="J207" s="67"/>
      <c r="K207" s="67"/>
      <c r="L207" s="67"/>
      <c r="M207" s="67"/>
    </row>
    <row r="208" spans="1:13" outlineLevel="7">
      <c r="A208" s="8" t="s">
        <v>172</v>
      </c>
      <c r="B208" s="35" t="s">
        <v>36</v>
      </c>
      <c r="C208" s="88" t="s">
        <v>223</v>
      </c>
      <c r="D208" s="125" t="s">
        <v>22</v>
      </c>
      <c r="E208" s="23" t="s">
        <v>82</v>
      </c>
      <c r="F208" s="67"/>
      <c r="G208" s="66"/>
      <c r="H208" s="67"/>
      <c r="I208" s="67">
        <v>38889</v>
      </c>
      <c r="J208" s="67"/>
      <c r="K208" s="67"/>
      <c r="L208" s="67">
        <v>38889</v>
      </c>
      <c r="M208" s="67"/>
    </row>
    <row r="209" spans="1:13" outlineLevel="7">
      <c r="A209" s="8" t="s">
        <v>173</v>
      </c>
      <c r="B209" s="35" t="s">
        <v>36</v>
      </c>
      <c r="C209" s="88" t="s">
        <v>223</v>
      </c>
      <c r="D209" s="125" t="s">
        <v>22</v>
      </c>
      <c r="E209" s="23" t="s">
        <v>46</v>
      </c>
      <c r="F209" s="67"/>
      <c r="G209" s="66"/>
      <c r="H209" s="67"/>
      <c r="I209" s="67"/>
      <c r="J209" s="67"/>
      <c r="K209" s="67"/>
      <c r="L209" s="67"/>
      <c r="M209" s="67"/>
    </row>
    <row r="210" spans="1:13" outlineLevel="7">
      <c r="A210" s="8" t="s">
        <v>174</v>
      </c>
      <c r="B210" s="35" t="s">
        <v>36</v>
      </c>
      <c r="C210" s="88" t="s">
        <v>223</v>
      </c>
      <c r="D210" s="125" t="s">
        <v>22</v>
      </c>
      <c r="E210" s="23" t="s">
        <v>82</v>
      </c>
      <c r="F210" s="67"/>
      <c r="G210" s="66"/>
      <c r="H210" s="67"/>
      <c r="I210" s="67">
        <v>38889</v>
      </c>
      <c r="J210" s="67"/>
      <c r="K210" s="67"/>
      <c r="L210" s="67">
        <v>38889</v>
      </c>
      <c r="M210" s="67"/>
    </row>
    <row r="211" spans="1:13" outlineLevel="7">
      <c r="A211" s="206" t="s">
        <v>260</v>
      </c>
      <c r="B211" s="164"/>
      <c r="C211" s="165"/>
      <c r="D211" s="166"/>
      <c r="E211" s="167"/>
      <c r="F211" s="168">
        <f t="shared" ref="F211:J211" si="106">SUM(F212:F215)</f>
        <v>0</v>
      </c>
      <c r="G211" s="168">
        <f t="shared" si="106"/>
        <v>0</v>
      </c>
      <c r="H211" s="168">
        <f t="shared" si="106"/>
        <v>0</v>
      </c>
      <c r="I211" s="168">
        <f t="shared" si="106"/>
        <v>0</v>
      </c>
      <c r="J211" s="168">
        <f t="shared" si="106"/>
        <v>77778</v>
      </c>
      <c r="K211" s="168">
        <f t="shared" ref="K211:M211" si="107">SUM(K212:K215)</f>
        <v>0</v>
      </c>
      <c r="L211" s="168">
        <f t="shared" si="107"/>
        <v>0</v>
      </c>
      <c r="M211" s="168">
        <f t="shared" si="107"/>
        <v>77778</v>
      </c>
    </row>
    <row r="212" spans="1:13" outlineLevel="7">
      <c r="A212" s="8" t="s">
        <v>171</v>
      </c>
      <c r="B212" s="35" t="s">
        <v>36</v>
      </c>
      <c r="C212" s="88" t="s">
        <v>224</v>
      </c>
      <c r="D212" s="125" t="s">
        <v>22</v>
      </c>
      <c r="E212" s="23" t="s">
        <v>176</v>
      </c>
      <c r="F212" s="67"/>
      <c r="G212" s="66"/>
      <c r="H212" s="67"/>
      <c r="I212" s="67"/>
      <c r="J212" s="67"/>
      <c r="K212" s="67"/>
      <c r="L212" s="67"/>
      <c r="M212" s="67"/>
    </row>
    <row r="213" spans="1:13" outlineLevel="7">
      <c r="A213" s="8" t="s">
        <v>172</v>
      </c>
      <c r="B213" s="35" t="s">
        <v>36</v>
      </c>
      <c r="C213" s="88" t="s">
        <v>224</v>
      </c>
      <c r="D213" s="125" t="s">
        <v>22</v>
      </c>
      <c r="E213" s="23" t="s">
        <v>82</v>
      </c>
      <c r="F213" s="67"/>
      <c r="G213" s="66"/>
      <c r="H213" s="67"/>
      <c r="I213" s="67"/>
      <c r="J213" s="67">
        <v>38889</v>
      </c>
      <c r="K213" s="67"/>
      <c r="L213" s="67"/>
      <c r="M213" s="67">
        <v>38889</v>
      </c>
    </row>
    <row r="214" spans="1:13" outlineLevel="7">
      <c r="A214" s="8" t="s">
        <v>173</v>
      </c>
      <c r="B214" s="35" t="s">
        <v>36</v>
      </c>
      <c r="C214" s="88" t="s">
        <v>224</v>
      </c>
      <c r="D214" s="125" t="s">
        <v>22</v>
      </c>
      <c r="E214" s="23" t="s">
        <v>46</v>
      </c>
      <c r="F214" s="67"/>
      <c r="G214" s="66"/>
      <c r="H214" s="67"/>
      <c r="I214" s="67"/>
      <c r="J214" s="67"/>
      <c r="K214" s="67"/>
      <c r="L214" s="67"/>
      <c r="M214" s="67"/>
    </row>
    <row r="215" spans="1:13" outlineLevel="7">
      <c r="A215" s="8" t="s">
        <v>174</v>
      </c>
      <c r="B215" s="35" t="s">
        <v>36</v>
      </c>
      <c r="C215" s="88" t="s">
        <v>224</v>
      </c>
      <c r="D215" s="125" t="s">
        <v>22</v>
      </c>
      <c r="E215" s="23" t="s">
        <v>82</v>
      </c>
      <c r="F215" s="67"/>
      <c r="G215" s="66"/>
      <c r="H215" s="67"/>
      <c r="I215" s="67"/>
      <c r="J215" s="67">
        <v>38889</v>
      </c>
      <c r="K215" s="67"/>
      <c r="L215" s="67"/>
      <c r="M215" s="67">
        <v>38889</v>
      </c>
    </row>
    <row r="216" spans="1:13" ht="25.5" customHeight="1" outlineLevel="7">
      <c r="A216" s="152" t="s">
        <v>168</v>
      </c>
      <c r="B216" s="153"/>
      <c r="C216" s="154"/>
      <c r="D216" s="153"/>
      <c r="E216" s="153"/>
      <c r="F216" s="155">
        <f>F217</f>
        <v>27452</v>
      </c>
      <c r="G216" s="155">
        <f t="shared" ref="G216:M216" si="108">G217</f>
        <v>21667</v>
      </c>
      <c r="H216" s="155">
        <f t="shared" si="108"/>
        <v>0</v>
      </c>
      <c r="I216" s="155">
        <f t="shared" si="108"/>
        <v>0</v>
      </c>
      <c r="J216" s="155">
        <f t="shared" si="108"/>
        <v>0</v>
      </c>
      <c r="K216" s="155">
        <f t="shared" si="108"/>
        <v>0</v>
      </c>
      <c r="L216" s="155">
        <f t="shared" si="108"/>
        <v>0</v>
      </c>
      <c r="M216" s="155">
        <f t="shared" si="108"/>
        <v>0</v>
      </c>
    </row>
    <row r="217" spans="1:13">
      <c r="A217" s="149" t="s">
        <v>48</v>
      </c>
      <c r="B217" s="150"/>
      <c r="C217" s="151"/>
      <c r="D217" s="150"/>
      <c r="E217" s="150"/>
      <c r="F217" s="76">
        <f t="shared" ref="F217:M217" si="109">F218</f>
        <v>27452</v>
      </c>
      <c r="G217" s="76">
        <f t="shared" si="109"/>
        <v>21667</v>
      </c>
      <c r="H217" s="76">
        <f t="shared" si="109"/>
        <v>0</v>
      </c>
      <c r="I217" s="76">
        <f t="shared" si="109"/>
        <v>0</v>
      </c>
      <c r="J217" s="76">
        <f t="shared" si="109"/>
        <v>0</v>
      </c>
      <c r="K217" s="76">
        <f t="shared" si="109"/>
        <v>0</v>
      </c>
      <c r="L217" s="76">
        <f t="shared" si="109"/>
        <v>0</v>
      </c>
      <c r="M217" s="76">
        <f t="shared" si="109"/>
        <v>0</v>
      </c>
    </row>
    <row r="218" spans="1:13" ht="25.5">
      <c r="A218" s="7" t="s">
        <v>49</v>
      </c>
      <c r="B218" s="17" t="s">
        <v>50</v>
      </c>
      <c r="C218" s="18"/>
      <c r="D218" s="17"/>
      <c r="E218" s="17"/>
      <c r="F218" s="62">
        <f t="shared" ref="F218:J218" si="110">F219+F220+F221+F224</f>
        <v>27452</v>
      </c>
      <c r="G218" s="62">
        <f t="shared" si="110"/>
        <v>21667</v>
      </c>
      <c r="H218" s="62">
        <f t="shared" si="110"/>
        <v>0</v>
      </c>
      <c r="I218" s="62">
        <f t="shared" si="110"/>
        <v>0</v>
      </c>
      <c r="J218" s="62">
        <f t="shared" si="110"/>
        <v>0</v>
      </c>
      <c r="K218" s="62">
        <f t="shared" ref="K218:M218" si="111">K219+K220+K221+K224</f>
        <v>0</v>
      </c>
      <c r="L218" s="62">
        <f t="shared" si="111"/>
        <v>0</v>
      </c>
      <c r="M218" s="62">
        <f t="shared" si="111"/>
        <v>0</v>
      </c>
    </row>
    <row r="219" spans="1:13">
      <c r="A219" s="4" t="s">
        <v>51</v>
      </c>
      <c r="B219" s="19" t="s">
        <v>50</v>
      </c>
      <c r="C219" s="47" t="s">
        <v>65</v>
      </c>
      <c r="D219" s="19" t="s">
        <v>18</v>
      </c>
      <c r="E219" s="19" t="s">
        <v>52</v>
      </c>
      <c r="F219" s="64">
        <v>21084</v>
      </c>
      <c r="G219" s="65">
        <v>16643.919999999998</v>
      </c>
      <c r="H219" s="64"/>
      <c r="I219" s="64"/>
      <c r="J219" s="64"/>
      <c r="K219" s="64"/>
      <c r="L219" s="64"/>
      <c r="M219" s="64"/>
    </row>
    <row r="220" spans="1:13">
      <c r="A220" s="4" t="s">
        <v>53</v>
      </c>
      <c r="B220" s="19" t="s">
        <v>50</v>
      </c>
      <c r="C220" s="47" t="s">
        <v>65</v>
      </c>
      <c r="D220" s="19" t="s">
        <v>59</v>
      </c>
      <c r="E220" s="19" t="s">
        <v>52</v>
      </c>
      <c r="F220" s="64">
        <v>6368</v>
      </c>
      <c r="G220" s="65">
        <v>5023.08</v>
      </c>
      <c r="H220" s="64"/>
      <c r="I220" s="64"/>
      <c r="J220" s="64"/>
      <c r="K220" s="64"/>
      <c r="L220" s="64"/>
      <c r="M220" s="64"/>
    </row>
    <row r="221" spans="1:13" ht="25.5">
      <c r="A221" s="4" t="s">
        <v>74</v>
      </c>
      <c r="B221" s="19" t="s">
        <v>50</v>
      </c>
      <c r="C221" s="47" t="s">
        <v>65</v>
      </c>
      <c r="D221" s="19" t="s">
        <v>21</v>
      </c>
      <c r="E221" s="19" t="s">
        <v>52</v>
      </c>
      <c r="F221" s="65">
        <f t="shared" ref="F221" si="112">SUM(F222:F223)</f>
        <v>0</v>
      </c>
      <c r="G221" s="65">
        <f t="shared" ref="G221:J221" si="113">SUM(G222:G223)</f>
        <v>0</v>
      </c>
      <c r="H221" s="65">
        <f t="shared" si="113"/>
        <v>0</v>
      </c>
      <c r="I221" s="65">
        <f t="shared" si="113"/>
        <v>0</v>
      </c>
      <c r="J221" s="65">
        <f t="shared" si="113"/>
        <v>0</v>
      </c>
      <c r="K221" s="65">
        <f t="shared" ref="K221:M221" si="114">SUM(K222:K223)</f>
        <v>0</v>
      </c>
      <c r="L221" s="65">
        <f t="shared" si="114"/>
        <v>0</v>
      </c>
      <c r="M221" s="65">
        <f t="shared" si="114"/>
        <v>0</v>
      </c>
    </row>
    <row r="222" spans="1:13">
      <c r="A222" s="4" t="s">
        <v>169</v>
      </c>
      <c r="B222" s="19"/>
      <c r="C222" s="47"/>
      <c r="D222" s="19"/>
      <c r="E222" s="19"/>
      <c r="F222" s="64"/>
      <c r="G222" s="65"/>
      <c r="H222" s="64"/>
      <c r="I222" s="64"/>
      <c r="J222" s="64"/>
      <c r="K222" s="64"/>
      <c r="L222" s="64"/>
      <c r="M222" s="64"/>
    </row>
    <row r="223" spans="1:13">
      <c r="A223" s="4" t="s">
        <v>170</v>
      </c>
      <c r="B223" s="19"/>
      <c r="C223" s="47"/>
      <c r="D223" s="19"/>
      <c r="E223" s="19"/>
      <c r="F223" s="64"/>
      <c r="G223" s="65"/>
      <c r="H223" s="64"/>
      <c r="I223" s="64"/>
      <c r="J223" s="64"/>
      <c r="K223" s="64"/>
      <c r="L223" s="64"/>
      <c r="M223" s="64"/>
    </row>
    <row r="224" spans="1:13">
      <c r="A224" s="4" t="s">
        <v>87</v>
      </c>
      <c r="B224" s="19" t="s">
        <v>50</v>
      </c>
      <c r="C224" s="47" t="s">
        <v>65</v>
      </c>
      <c r="D224" s="19" t="s">
        <v>22</v>
      </c>
      <c r="E224" s="19" t="s">
        <v>52</v>
      </c>
      <c r="F224" s="65">
        <f t="shared" ref="F224:J224" si="115">SUM(F225:F229)</f>
        <v>0</v>
      </c>
      <c r="G224" s="65">
        <f t="shared" si="115"/>
        <v>0</v>
      </c>
      <c r="H224" s="65">
        <f t="shared" si="115"/>
        <v>0</v>
      </c>
      <c r="I224" s="65">
        <f t="shared" si="115"/>
        <v>0</v>
      </c>
      <c r="J224" s="65">
        <f t="shared" si="115"/>
        <v>0</v>
      </c>
      <c r="K224" s="65">
        <f t="shared" ref="K224:M224" si="116">SUM(K225:K229)</f>
        <v>0</v>
      </c>
      <c r="L224" s="65">
        <f t="shared" si="116"/>
        <v>0</v>
      </c>
      <c r="M224" s="65">
        <f t="shared" si="116"/>
        <v>0</v>
      </c>
    </row>
    <row r="225" spans="1:13">
      <c r="A225" s="4" t="s">
        <v>96</v>
      </c>
      <c r="B225" s="19"/>
      <c r="C225" s="47"/>
      <c r="D225" s="19"/>
      <c r="E225" s="19"/>
      <c r="F225" s="64"/>
      <c r="G225" s="65"/>
      <c r="H225" s="64"/>
      <c r="I225" s="64"/>
      <c r="J225" s="64"/>
      <c r="K225" s="64"/>
      <c r="L225" s="64"/>
      <c r="M225" s="64"/>
    </row>
    <row r="226" spans="1:13">
      <c r="A226" s="4" t="s">
        <v>54</v>
      </c>
      <c r="B226" s="19"/>
      <c r="C226" s="47"/>
      <c r="D226" s="19"/>
      <c r="E226" s="19"/>
      <c r="F226" s="64"/>
      <c r="G226" s="65"/>
      <c r="H226" s="64"/>
      <c r="I226" s="64"/>
      <c r="J226" s="64"/>
      <c r="K226" s="64"/>
      <c r="L226" s="64"/>
      <c r="M226" s="64"/>
    </row>
    <row r="227" spans="1:13">
      <c r="A227" s="4" t="s">
        <v>55</v>
      </c>
      <c r="B227" s="19"/>
      <c r="C227" s="47"/>
      <c r="D227" s="19"/>
      <c r="E227" s="19"/>
      <c r="F227" s="64"/>
      <c r="G227" s="65"/>
      <c r="H227" s="64"/>
      <c r="I227" s="64"/>
      <c r="J227" s="64"/>
      <c r="K227" s="64"/>
      <c r="L227" s="64"/>
      <c r="M227" s="64"/>
    </row>
    <row r="228" spans="1:13">
      <c r="A228" s="4" t="s">
        <v>56</v>
      </c>
      <c r="B228" s="19"/>
      <c r="C228" s="47"/>
      <c r="D228" s="19"/>
      <c r="E228" s="19"/>
      <c r="F228" s="64"/>
      <c r="G228" s="65"/>
      <c r="H228" s="64"/>
      <c r="I228" s="64"/>
      <c r="J228" s="64"/>
      <c r="K228" s="64"/>
      <c r="L228" s="64"/>
      <c r="M228" s="64"/>
    </row>
    <row r="229" spans="1:13">
      <c r="A229" s="4" t="s">
        <v>57</v>
      </c>
      <c r="B229" s="19"/>
      <c r="C229" s="47"/>
      <c r="D229" s="19"/>
      <c r="E229" s="19"/>
      <c r="F229" s="64"/>
      <c r="G229" s="65"/>
      <c r="H229" s="64"/>
      <c r="I229" s="64"/>
      <c r="J229" s="64"/>
      <c r="K229" s="64"/>
      <c r="L229" s="64"/>
      <c r="M229" s="64"/>
    </row>
    <row r="230" spans="1:13">
      <c r="F230" s="6"/>
      <c r="G230" s="6"/>
      <c r="H230" s="6"/>
      <c r="I230" s="6"/>
      <c r="J230" s="6"/>
      <c r="K230" s="6"/>
      <c r="L230" s="6"/>
      <c r="M230" s="6"/>
    </row>
    <row r="231" spans="1:13">
      <c r="F231" s="6"/>
      <c r="G231" s="6"/>
      <c r="H231" s="6"/>
      <c r="I231" s="6"/>
      <c r="J231" s="6"/>
      <c r="K231" s="6"/>
      <c r="L231" s="6"/>
      <c r="M231" s="6"/>
    </row>
    <row r="232" spans="1:13">
      <c r="A232" s="13" t="s">
        <v>195</v>
      </c>
      <c r="F232" s="6"/>
      <c r="G232" s="6"/>
      <c r="H232" s="6"/>
      <c r="I232" s="6"/>
      <c r="J232" s="6"/>
      <c r="K232" s="6"/>
      <c r="L232" s="6"/>
      <c r="M232" s="6"/>
    </row>
    <row r="233" spans="1:13">
      <c r="F233" s="6"/>
      <c r="G233" s="6"/>
      <c r="H233" s="6"/>
      <c r="I233" s="6"/>
      <c r="J233" s="6"/>
      <c r="K233" s="6"/>
      <c r="L233" s="6"/>
      <c r="M233" s="6"/>
    </row>
    <row r="234" spans="1:13">
      <c r="F234" s="6"/>
      <c r="G234" s="6"/>
      <c r="H234" s="6"/>
      <c r="I234" s="6"/>
      <c r="J234" s="6"/>
      <c r="K234" s="6"/>
      <c r="L234" s="6"/>
      <c r="M234" s="6"/>
    </row>
    <row r="235" spans="1:13">
      <c r="F235" s="6"/>
      <c r="G235" s="6"/>
      <c r="H235" s="6"/>
      <c r="I235" s="6"/>
      <c r="J235" s="6"/>
      <c r="K235" s="6"/>
      <c r="L235" s="6"/>
      <c r="M235" s="6"/>
    </row>
    <row r="236" spans="1:13">
      <c r="F236" s="6"/>
      <c r="G236" s="6"/>
      <c r="H236" s="6"/>
      <c r="I236" s="6"/>
      <c r="J236" s="6"/>
      <c r="K236" s="6"/>
      <c r="L236" s="6"/>
      <c r="M236" s="6"/>
    </row>
    <row r="237" spans="1:13">
      <c r="A237" s="13" t="s">
        <v>97</v>
      </c>
      <c r="F237" s="6"/>
      <c r="G237" s="6"/>
      <c r="H237" s="6"/>
      <c r="I237" s="6"/>
      <c r="J237" s="6"/>
      <c r="K237" s="6"/>
      <c r="L237" s="6"/>
      <c r="M237" s="6"/>
    </row>
    <row r="238" spans="1:13">
      <c r="F238" s="6"/>
      <c r="G238" s="6"/>
      <c r="H238" s="6"/>
      <c r="I238" s="6"/>
      <c r="J238" s="6"/>
      <c r="K238" s="6"/>
      <c r="L238" s="6"/>
      <c r="M238" s="6"/>
    </row>
    <row r="239" spans="1:13">
      <c r="F239" s="6"/>
      <c r="G239" s="6"/>
      <c r="H239" s="6"/>
      <c r="I239" s="6"/>
      <c r="J239" s="6"/>
      <c r="K239" s="6"/>
      <c r="L239" s="6"/>
      <c r="M239" s="6"/>
    </row>
    <row r="240" spans="1:13">
      <c r="F240" s="6"/>
      <c r="G240" s="6"/>
      <c r="H240" s="6"/>
      <c r="I240" s="6"/>
      <c r="J240" s="6"/>
      <c r="K240" s="6"/>
      <c r="L240" s="6"/>
      <c r="M240" s="6"/>
    </row>
    <row r="241" spans="6:13">
      <c r="F241" s="6"/>
      <c r="G241" s="6"/>
      <c r="H241" s="6"/>
      <c r="I241" s="6"/>
      <c r="J241" s="6"/>
      <c r="K241" s="6"/>
      <c r="L241" s="6"/>
      <c r="M241" s="6"/>
    </row>
    <row r="242" spans="6:13">
      <c r="F242" s="6"/>
      <c r="G242" s="6"/>
      <c r="H242" s="6"/>
      <c r="I242" s="6"/>
      <c r="J242" s="6"/>
      <c r="K242" s="6"/>
      <c r="L242" s="6"/>
      <c r="M242" s="6"/>
    </row>
    <row r="243" spans="6:13">
      <c r="F243" s="6"/>
      <c r="G243" s="6"/>
      <c r="H243" s="6"/>
      <c r="I243" s="6"/>
      <c r="J243" s="6"/>
      <c r="K243" s="6"/>
      <c r="L243" s="6"/>
      <c r="M243" s="6"/>
    </row>
    <row r="244" spans="6:13">
      <c r="F244" s="6"/>
      <c r="G244" s="6"/>
      <c r="H244" s="6"/>
      <c r="I244" s="6"/>
      <c r="J244" s="6"/>
      <c r="K244" s="6"/>
      <c r="L244" s="6"/>
      <c r="M244" s="6"/>
    </row>
    <row r="245" spans="6:13">
      <c r="F245" s="6"/>
      <c r="G245" s="6"/>
      <c r="H245" s="6"/>
      <c r="I245" s="6"/>
      <c r="J245" s="6"/>
      <c r="K245" s="6"/>
      <c r="L245" s="6"/>
      <c r="M245" s="6"/>
    </row>
    <row r="246" spans="6:13">
      <c r="F246" s="6"/>
      <c r="G246" s="6"/>
      <c r="H246" s="6"/>
      <c r="I246" s="6"/>
      <c r="J246" s="6"/>
      <c r="K246" s="6"/>
      <c r="L246" s="6"/>
      <c r="M246" s="6"/>
    </row>
    <row r="247" spans="6:13">
      <c r="F247" s="6"/>
      <c r="G247" s="6"/>
      <c r="H247" s="6"/>
      <c r="I247" s="6"/>
      <c r="J247" s="6"/>
      <c r="K247" s="6"/>
      <c r="L247" s="6"/>
      <c r="M247" s="6"/>
    </row>
    <row r="248" spans="6:13">
      <c r="F248" s="6"/>
      <c r="G248" s="6"/>
      <c r="H248" s="6"/>
      <c r="I248" s="6"/>
      <c r="J248" s="6"/>
      <c r="K248" s="6"/>
      <c r="L248" s="6"/>
      <c r="M248" s="6"/>
    </row>
    <row r="249" spans="6:13">
      <c r="F249" s="6"/>
      <c r="G249" s="6"/>
      <c r="H249" s="6"/>
      <c r="I249" s="6"/>
      <c r="J249" s="6"/>
      <c r="K249" s="6"/>
      <c r="L249" s="6"/>
      <c r="M249" s="6"/>
    </row>
    <row r="250" spans="6:13">
      <c r="F250" s="6"/>
      <c r="G250" s="6"/>
      <c r="H250" s="6"/>
      <c r="I250" s="6"/>
      <c r="J250" s="6"/>
      <c r="K250" s="6"/>
      <c r="L250" s="6"/>
      <c r="M250" s="6"/>
    </row>
    <row r="251" spans="6:13">
      <c r="F251" s="6"/>
      <c r="G251" s="6"/>
      <c r="H251" s="6"/>
      <c r="I251" s="6"/>
      <c r="J251" s="6"/>
      <c r="K251" s="6"/>
      <c r="L251" s="6"/>
      <c r="M251" s="6"/>
    </row>
    <row r="252" spans="6:13">
      <c r="F252" s="6"/>
      <c r="G252" s="6"/>
      <c r="H252" s="6"/>
      <c r="I252" s="6"/>
      <c r="J252" s="6"/>
      <c r="K252" s="6"/>
      <c r="L252" s="6"/>
      <c r="M252" s="6"/>
    </row>
    <row r="253" spans="6:13">
      <c r="F253" s="6"/>
      <c r="G253" s="6"/>
      <c r="H253" s="6"/>
      <c r="I253" s="6"/>
      <c r="J253" s="6"/>
      <c r="K253" s="6"/>
      <c r="L253" s="6"/>
      <c r="M253" s="6"/>
    </row>
  </sheetData>
  <sheetProtection selectLockedCells="1" selectUnlockedCells="1"/>
  <mergeCells count="19">
    <mergeCell ref="A1:M1"/>
    <mergeCell ref="A2:M2"/>
    <mergeCell ref="A3:M3"/>
    <mergeCell ref="A4:A5"/>
    <mergeCell ref="B4:E4"/>
    <mergeCell ref="F4:F5"/>
    <mergeCell ref="G4:G5"/>
    <mergeCell ref="H4:J4"/>
    <mergeCell ref="K4:M4"/>
    <mergeCell ref="B17:E17"/>
    <mergeCell ref="B93:E93"/>
    <mergeCell ref="B95:E95"/>
    <mergeCell ref="B105:E105"/>
    <mergeCell ref="B6:E6"/>
    <mergeCell ref="B7:E7"/>
    <mergeCell ref="B8:E8"/>
    <mergeCell ref="B11:E11"/>
    <mergeCell ref="B12:E12"/>
    <mergeCell ref="B13:E13"/>
  </mergeCells>
  <pageMargins left="0.39370078740157483" right="0.19685039370078741" top="0.19685039370078741" bottom="0.39370078740157483" header="0.51181102362204722" footer="0.31496062992125984"/>
  <pageSetup paperSize="9" scale="70" firstPageNumber="0" fitToHeight="200" orientation="landscape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M253"/>
  <sheetViews>
    <sheetView showGridLines="0" tabSelected="1" workbookViewId="0">
      <pane xSplit="2" ySplit="16" topLeftCell="C170" activePane="bottomRight" state="frozen"/>
      <selection pane="topRight" activeCell="C1" sqref="C1"/>
      <selection pane="bottomLeft" activeCell="A16" sqref="A16"/>
      <selection pane="bottomRight" activeCell="L161" sqref="L161"/>
    </sheetView>
  </sheetViews>
  <sheetFormatPr defaultRowHeight="12.75" outlineLevelRow="7"/>
  <cols>
    <col min="1" max="1" width="69.5703125" style="1" customWidth="1"/>
    <col min="2" max="2" width="5.85546875" style="1" customWidth="1"/>
    <col min="3" max="3" width="13.140625" style="1" customWidth="1"/>
    <col min="4" max="4" width="5.5703125" style="1" customWidth="1"/>
    <col min="5" max="5" width="5.28515625" style="1" customWidth="1"/>
    <col min="6" max="6" width="11.85546875" style="1" customWidth="1"/>
    <col min="7" max="7" width="11.42578125" style="1" customWidth="1"/>
    <col min="8" max="8" width="12.28515625" style="1" customWidth="1"/>
    <col min="9" max="9" width="12.5703125" style="1" customWidth="1"/>
    <col min="10" max="10" width="12.42578125" style="1" customWidth="1"/>
    <col min="11" max="11" width="12.140625" style="1" customWidth="1"/>
    <col min="12" max="12" width="11.7109375" style="1" customWidth="1"/>
    <col min="13" max="13" width="12.28515625" style="1" customWidth="1"/>
    <col min="14" max="16384" width="9.140625" style="1"/>
  </cols>
  <sheetData>
    <row r="1" spans="1:13" ht="15.75" customHeight="1">
      <c r="A1" s="234" t="s">
        <v>226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</row>
    <row r="2" spans="1:13" ht="15.75">
      <c r="A2" s="235"/>
      <c r="B2" s="235"/>
      <c r="C2" s="235"/>
      <c r="D2" s="235"/>
      <c r="E2" s="235"/>
      <c r="F2" s="235"/>
      <c r="G2" s="235"/>
      <c r="H2" s="235"/>
      <c r="I2" s="235"/>
      <c r="J2" s="235"/>
      <c r="K2" s="235"/>
      <c r="L2" s="235"/>
      <c r="M2" s="235"/>
    </row>
    <row r="3" spans="1:13">
      <c r="A3" s="236" t="s">
        <v>0</v>
      </c>
      <c r="B3" s="236"/>
      <c r="C3" s="236"/>
      <c r="D3" s="236"/>
      <c r="E3" s="236"/>
      <c r="F3" s="236"/>
      <c r="G3" s="236"/>
      <c r="H3" s="236"/>
      <c r="I3" s="236"/>
      <c r="J3" s="236"/>
      <c r="K3" s="236"/>
      <c r="L3" s="236"/>
      <c r="M3" s="236"/>
    </row>
    <row r="4" spans="1:13" ht="54.6" customHeight="1">
      <c r="A4" s="237" t="s">
        <v>1</v>
      </c>
      <c r="B4" s="238" t="s">
        <v>66</v>
      </c>
      <c r="C4" s="239"/>
      <c r="D4" s="239"/>
      <c r="E4" s="240"/>
      <c r="F4" s="237" t="s">
        <v>227</v>
      </c>
      <c r="G4" s="237" t="s">
        <v>228</v>
      </c>
      <c r="H4" s="241" t="s">
        <v>6</v>
      </c>
      <c r="I4" s="242"/>
      <c r="J4" s="243"/>
      <c r="K4" s="241" t="s">
        <v>7</v>
      </c>
      <c r="L4" s="242"/>
      <c r="M4" s="243"/>
    </row>
    <row r="5" spans="1:13" ht="25.5">
      <c r="A5" s="237"/>
      <c r="B5" s="12" t="s">
        <v>2</v>
      </c>
      <c r="C5" s="12" t="s">
        <v>3</v>
      </c>
      <c r="D5" s="12" t="s">
        <v>4</v>
      </c>
      <c r="E5" s="12" t="s">
        <v>5</v>
      </c>
      <c r="F5" s="237"/>
      <c r="G5" s="237"/>
      <c r="H5" s="2" t="s">
        <v>84</v>
      </c>
      <c r="I5" s="2" t="s">
        <v>177</v>
      </c>
      <c r="J5" s="2" t="s">
        <v>229</v>
      </c>
      <c r="K5" s="2" t="s">
        <v>84</v>
      </c>
      <c r="L5" s="2" t="s">
        <v>177</v>
      </c>
      <c r="M5" s="2" t="s">
        <v>229</v>
      </c>
    </row>
    <row r="6" spans="1:13" ht="15">
      <c r="A6" s="14" t="s">
        <v>8</v>
      </c>
      <c r="B6" s="231"/>
      <c r="C6" s="232"/>
      <c r="D6" s="232"/>
      <c r="E6" s="233"/>
      <c r="F6" s="58">
        <f t="shared" ref="F6" si="0">F7-F13</f>
        <v>-437928.75999999978</v>
      </c>
      <c r="G6" s="58">
        <f>G7-G13</f>
        <v>30650.929999999702</v>
      </c>
      <c r="H6" s="58">
        <f t="shared" ref="H6:M6" si="1">H7-H13</f>
        <v>-1903806.3399999999</v>
      </c>
      <c r="I6" s="58">
        <f t="shared" si="1"/>
        <v>-1673515</v>
      </c>
      <c r="J6" s="58">
        <f t="shared" si="1"/>
        <v>-873802</v>
      </c>
      <c r="K6" s="58">
        <f>K7-K13</f>
        <v>0</v>
      </c>
      <c r="L6" s="58">
        <f t="shared" si="1"/>
        <v>83780</v>
      </c>
      <c r="M6" s="58">
        <f t="shared" si="1"/>
        <v>142892</v>
      </c>
    </row>
    <row r="7" spans="1:13" ht="15">
      <c r="A7" s="14" t="s">
        <v>99</v>
      </c>
      <c r="B7" s="231"/>
      <c r="C7" s="232"/>
      <c r="D7" s="232"/>
      <c r="E7" s="233"/>
      <c r="F7" s="58">
        <f t="shared" ref="F7:M7" si="2">F8+F12+F10+F11+F9</f>
        <v>5497645.1899999995</v>
      </c>
      <c r="G7" s="58">
        <f t="shared" si="2"/>
        <v>2290625.67</v>
      </c>
      <c r="H7" s="58">
        <f t="shared" si="2"/>
        <v>3514180</v>
      </c>
      <c r="I7" s="58">
        <f t="shared" si="2"/>
        <v>4745816</v>
      </c>
      <c r="J7" s="58">
        <f t="shared" si="2"/>
        <v>3540313</v>
      </c>
      <c r="K7" s="58">
        <f t="shared" si="2"/>
        <v>3464676</v>
      </c>
      <c r="L7" s="58">
        <f t="shared" si="2"/>
        <v>5412281</v>
      </c>
      <c r="M7" s="58">
        <f t="shared" si="2"/>
        <v>3748920</v>
      </c>
    </row>
    <row r="8" spans="1:13" ht="25.5">
      <c r="A8" s="15" t="s">
        <v>263</v>
      </c>
      <c r="B8" s="231"/>
      <c r="C8" s="232"/>
      <c r="D8" s="232"/>
      <c r="E8" s="233"/>
      <c r="F8" s="188">
        <f>1120299+39257.19+8781</f>
        <v>1168337.19</v>
      </c>
      <c r="G8" s="189">
        <f>407789.24+18500+8781</f>
        <v>435070.24</v>
      </c>
      <c r="H8" s="188">
        <f>1050688+H184+H189+H194+H199+H205+H210+H215</f>
        <v>1114577</v>
      </c>
      <c r="I8" s="188">
        <f>1057324+I184+I189+I194+I199+I205+I210+I215</f>
        <v>1126213</v>
      </c>
      <c r="J8" s="188">
        <f>1064388+J184+J189+J194+J199+J205+J210+J215</f>
        <v>1118277</v>
      </c>
      <c r="K8" s="188">
        <f>1050688+K184+K189+K194+K199+K205+K210+K215</f>
        <v>1089577</v>
      </c>
      <c r="L8" s="188">
        <f>1057324+505429+L184+L189+L194+L199+L205+L210+L215</f>
        <v>1580182</v>
      </c>
      <c r="M8" s="188">
        <f>1064388+M184+M189+M194+M199+M205+M210+M215</f>
        <v>1064388</v>
      </c>
    </row>
    <row r="9" spans="1:13" ht="15">
      <c r="A9" s="15" t="s">
        <v>100</v>
      </c>
      <c r="B9" s="225"/>
      <c r="C9" s="226"/>
      <c r="D9" s="226"/>
      <c r="E9" s="227"/>
      <c r="F9" s="59">
        <f>1169097+700000</f>
        <v>1869097</v>
      </c>
      <c r="G9" s="102"/>
      <c r="H9" s="59">
        <f>H76+H174+H181+H186+H191+H196+H202+H207+H212</f>
        <v>0</v>
      </c>
      <c r="I9" s="59">
        <f t="shared" ref="I9:J9" si="3">I76+I174+I181+I186+I191+I196+I202+I207+I212</f>
        <v>1220000</v>
      </c>
      <c r="J9" s="59">
        <f t="shared" si="3"/>
        <v>0</v>
      </c>
      <c r="K9" s="59">
        <f>K76+K174+K181+K186+K191+K196+K202+K207+K212</f>
        <v>0</v>
      </c>
      <c r="L9" s="59">
        <f t="shared" ref="L9:M9" si="4">L76+L174+L181+L186+L191+L196+L202+L207+L212</f>
        <v>1220000</v>
      </c>
      <c r="M9" s="59">
        <f t="shared" si="4"/>
        <v>0</v>
      </c>
    </row>
    <row r="10" spans="1:13" ht="15">
      <c r="A10" s="15" t="s">
        <v>101</v>
      </c>
      <c r="B10" s="225"/>
      <c r="C10" s="226"/>
      <c r="D10" s="226"/>
      <c r="E10" s="227"/>
      <c r="F10" s="59">
        <v>27452</v>
      </c>
      <c r="G10" s="102">
        <v>21667</v>
      </c>
      <c r="H10" s="59">
        <f>H217</f>
        <v>31600</v>
      </c>
      <c r="I10" s="59">
        <f t="shared" ref="I10:J10" si="5">I217</f>
        <v>31600</v>
      </c>
      <c r="J10" s="59">
        <f t="shared" si="5"/>
        <v>31600</v>
      </c>
      <c r="K10" s="59">
        <f>K217</f>
        <v>31600</v>
      </c>
      <c r="L10" s="59">
        <f t="shared" ref="L10:M10" si="6">L217</f>
        <v>31600</v>
      </c>
      <c r="M10" s="59">
        <f t="shared" si="6"/>
        <v>31600</v>
      </c>
    </row>
    <row r="11" spans="1:13" ht="15">
      <c r="A11" s="16" t="s">
        <v>9</v>
      </c>
      <c r="B11" s="231"/>
      <c r="C11" s="232"/>
      <c r="D11" s="232"/>
      <c r="E11" s="233"/>
      <c r="F11" s="60">
        <f>475000+137239.78+150000-85159.78</f>
        <v>677080</v>
      </c>
      <c r="G11" s="103">
        <f>196762.4+109215.81+150000-85159.78</f>
        <v>370818.42999999993</v>
      </c>
      <c r="H11" s="60">
        <f>H89+H99+H106+H183+H188+H193+H198+H204+H209+H214</f>
        <v>597000</v>
      </c>
      <c r="I11" s="60">
        <f t="shared" ref="I11:J11" si="7">I89+I99+I106+I183+I188+I193+I198+I204+I209+I214</f>
        <v>597000</v>
      </c>
      <c r="J11" s="60">
        <f t="shared" si="7"/>
        <v>597000</v>
      </c>
      <c r="K11" s="60">
        <f>K89+K99+K106+K143+K183+K188+K193+K198+K204+K209+K214</f>
        <v>572496</v>
      </c>
      <c r="L11" s="60">
        <f t="shared" ref="L11:M11" si="8">L89+L99+L106+L143+L183+L188+L193+L198+L204+L209+L214</f>
        <v>809496</v>
      </c>
      <c r="M11" s="60">
        <f t="shared" si="8"/>
        <v>859496</v>
      </c>
    </row>
    <row r="12" spans="1:13" ht="15">
      <c r="A12" s="16" t="s">
        <v>10</v>
      </c>
      <c r="B12" s="231"/>
      <c r="C12" s="232"/>
      <c r="D12" s="232"/>
      <c r="E12" s="233"/>
      <c r="F12" s="59">
        <v>1755679</v>
      </c>
      <c r="G12" s="102">
        <v>1463070</v>
      </c>
      <c r="H12" s="59">
        <v>1771003</v>
      </c>
      <c r="I12" s="59">
        <v>1771003</v>
      </c>
      <c r="J12" s="59">
        <v>1793436</v>
      </c>
      <c r="K12" s="59">
        <v>1771003</v>
      </c>
      <c r="L12" s="59">
        <v>1771003</v>
      </c>
      <c r="M12" s="59">
        <v>1793436</v>
      </c>
    </row>
    <row r="13" spans="1:13" ht="15">
      <c r="A13" s="14" t="s">
        <v>11</v>
      </c>
      <c r="B13" s="231"/>
      <c r="C13" s="232"/>
      <c r="D13" s="232"/>
      <c r="E13" s="233"/>
      <c r="F13" s="61">
        <f t="shared" ref="F13:M13" si="9">F17+F93+F95+F105+F216</f>
        <v>5935573.9499999993</v>
      </c>
      <c r="G13" s="61">
        <f t="shared" si="9"/>
        <v>2259974.7400000002</v>
      </c>
      <c r="H13" s="61">
        <f t="shared" si="9"/>
        <v>5417986.3399999999</v>
      </c>
      <c r="I13" s="61">
        <f t="shared" si="9"/>
        <v>6419331</v>
      </c>
      <c r="J13" s="61">
        <f t="shared" si="9"/>
        <v>4414115</v>
      </c>
      <c r="K13" s="61">
        <f>K17+K93+K95+K105+K216</f>
        <v>3464676</v>
      </c>
      <c r="L13" s="61">
        <f t="shared" si="9"/>
        <v>5328501</v>
      </c>
      <c r="M13" s="61">
        <f t="shared" si="9"/>
        <v>3606028</v>
      </c>
    </row>
    <row r="14" spans="1:13" ht="14.25">
      <c r="A14" s="177" t="s">
        <v>199</v>
      </c>
      <c r="B14" s="178"/>
      <c r="C14" s="179"/>
      <c r="D14" s="179"/>
      <c r="E14" s="180"/>
      <c r="F14" s="181"/>
      <c r="G14" s="181"/>
      <c r="H14" s="181"/>
      <c r="I14" s="181"/>
      <c r="J14" s="181"/>
      <c r="K14" s="181"/>
      <c r="L14" s="181">
        <f>(L8+L12)*2.5%</f>
        <v>83779.625</v>
      </c>
      <c r="M14" s="181">
        <f>(M8+M12)*5%</f>
        <v>142891.20000000001</v>
      </c>
    </row>
    <row r="15" spans="1:13" ht="14.25">
      <c r="A15" s="177" t="s">
        <v>200</v>
      </c>
      <c r="B15" s="178"/>
      <c r="C15" s="179"/>
      <c r="D15" s="179"/>
      <c r="E15" s="180"/>
      <c r="F15" s="181"/>
      <c r="G15" s="181"/>
      <c r="H15" s="181"/>
      <c r="I15" s="181"/>
      <c r="J15" s="181"/>
      <c r="K15" s="181"/>
      <c r="L15" s="181">
        <f>L13-L14</f>
        <v>5244721.375</v>
      </c>
      <c r="M15" s="181">
        <f>M13-M14</f>
        <v>3463136.8</v>
      </c>
    </row>
    <row r="16" spans="1:13" ht="15">
      <c r="A16" s="134" t="s">
        <v>85</v>
      </c>
      <c r="B16" s="135"/>
      <c r="C16" s="136"/>
      <c r="D16" s="136"/>
      <c r="E16" s="137"/>
      <c r="F16" s="138">
        <f>F17+F93+F95+F105-F76-F89-F99-F106-F174-F181-F183-F186-F188-F191-F193-F196-F198-F202-F204-F207-F209-F212-F214</f>
        <v>3511944.9499999993</v>
      </c>
      <c r="G16" s="138">
        <f t="shared" ref="G16:J16" si="10">G17+G93+G95+G105-G76-G89-G99-G106-G174-G181-G183-G186-G188-G191-G193-G196-G198-G202-G204-G207-G209-G212-G214</f>
        <v>2020566.7700000005</v>
      </c>
      <c r="H16" s="138">
        <f t="shared" si="10"/>
        <v>4789386.34</v>
      </c>
      <c r="I16" s="138">
        <f t="shared" si="10"/>
        <v>4570731</v>
      </c>
      <c r="J16" s="138">
        <f t="shared" si="10"/>
        <v>3785515</v>
      </c>
      <c r="K16" s="138">
        <f>K17+K93+K95+K105-K76-K89-K99-K106-K143-K174-K181-K183-K186-K188-K191-K193-K196-K198-K202-K204-K207-K209-K212-K214</f>
        <v>2860580</v>
      </c>
      <c r="L16" s="138">
        <f t="shared" ref="L16:M16" si="11">L17+L93+L95+L105-L76-L89-L99-L106-L143-L174-L181-L183-L186-L188-L191-L193-L196-L198-L202-L204-L207-L209-L212-L214</f>
        <v>3267405</v>
      </c>
      <c r="M16" s="138">
        <f t="shared" si="11"/>
        <v>2714932</v>
      </c>
    </row>
    <row r="17" spans="1:13" ht="27.75" customHeight="1">
      <c r="A17" s="93" t="s">
        <v>130</v>
      </c>
      <c r="B17" s="247" t="s">
        <v>163</v>
      </c>
      <c r="C17" s="248"/>
      <c r="D17" s="248"/>
      <c r="E17" s="249"/>
      <c r="F17" s="92">
        <f>F18+F22+F25+F60+F70+F73+F78+F81+F82+F83+F86+F89</f>
        <v>1890340.69</v>
      </c>
      <c r="G17" s="92">
        <f t="shared" ref="G17:J17" si="12">G18+G22+G25+G60+G70+G73+G78+G81+G82+G83+G86+G89</f>
        <v>1138508.0000000002</v>
      </c>
      <c r="H17" s="92">
        <f t="shared" si="12"/>
        <v>2059123.8900000001</v>
      </c>
      <c r="I17" s="92">
        <f t="shared" si="12"/>
        <v>1987555</v>
      </c>
      <c r="J17" s="92">
        <f t="shared" si="12"/>
        <v>1921891</v>
      </c>
      <c r="K17" s="92">
        <f>K18+K22+K25+K60+K70+K73+K78+K81+K82+K83+K86+K89</f>
        <v>1944572</v>
      </c>
      <c r="L17" s="92">
        <f t="shared" ref="L17:M17" si="13">L18+L22+L25+L60+L70+L73+L78+L81+L82+L83+L86+L89</f>
        <v>1927801</v>
      </c>
      <c r="M17" s="92">
        <f t="shared" si="13"/>
        <v>1862801</v>
      </c>
    </row>
    <row r="18" spans="1:13" outlineLevel="4">
      <c r="A18" s="3" t="s">
        <v>75</v>
      </c>
      <c r="B18" s="17" t="s">
        <v>12</v>
      </c>
      <c r="C18" s="18"/>
      <c r="D18" s="17"/>
      <c r="E18" s="17"/>
      <c r="F18" s="62">
        <f>SUM(F19:F21)</f>
        <v>0</v>
      </c>
      <c r="G18" s="62">
        <f t="shared" ref="G18:M18" si="14">SUM(G19:G21)</f>
        <v>0</v>
      </c>
      <c r="H18" s="62">
        <f t="shared" si="14"/>
        <v>0</v>
      </c>
      <c r="I18" s="62">
        <f t="shared" si="14"/>
        <v>0</v>
      </c>
      <c r="J18" s="62">
        <f t="shared" si="14"/>
        <v>0</v>
      </c>
      <c r="K18" s="62">
        <f t="shared" si="14"/>
        <v>0</v>
      </c>
      <c r="L18" s="62">
        <f t="shared" si="14"/>
        <v>0</v>
      </c>
      <c r="M18" s="62">
        <f t="shared" si="14"/>
        <v>0</v>
      </c>
    </row>
    <row r="19" spans="1:13" ht="13.5" customHeight="1" outlineLevel="7">
      <c r="A19" s="4" t="s">
        <v>14</v>
      </c>
      <c r="B19" s="19" t="s">
        <v>12</v>
      </c>
      <c r="C19" s="20" t="s">
        <v>102</v>
      </c>
      <c r="D19" s="19" t="s">
        <v>15</v>
      </c>
      <c r="E19" s="19" t="s">
        <v>58</v>
      </c>
      <c r="F19" s="64"/>
      <c r="G19" s="65"/>
      <c r="H19" s="64"/>
      <c r="I19" s="63"/>
      <c r="J19" s="63"/>
      <c r="K19" s="64"/>
      <c r="L19" s="63"/>
      <c r="M19" s="63"/>
    </row>
    <row r="20" spans="1:13" ht="12.75" customHeight="1" outlineLevel="7">
      <c r="A20" s="4" t="s">
        <v>103</v>
      </c>
      <c r="B20" s="19" t="s">
        <v>12</v>
      </c>
      <c r="C20" s="20" t="s">
        <v>104</v>
      </c>
      <c r="D20" s="19" t="s">
        <v>21</v>
      </c>
      <c r="E20" s="19" t="s">
        <v>58</v>
      </c>
      <c r="F20" s="64"/>
      <c r="G20" s="65"/>
      <c r="H20" s="64"/>
      <c r="I20" s="63"/>
      <c r="J20" s="63"/>
      <c r="K20" s="64"/>
      <c r="L20" s="63"/>
      <c r="M20" s="63"/>
    </row>
    <row r="21" spans="1:13" ht="14.25" customHeight="1" outlineLevel="7">
      <c r="A21" s="4" t="s">
        <v>16</v>
      </c>
      <c r="B21" s="19" t="s">
        <v>12</v>
      </c>
      <c r="C21" s="20" t="s">
        <v>104</v>
      </c>
      <c r="D21" s="19" t="s">
        <v>22</v>
      </c>
      <c r="E21" s="19" t="s">
        <v>58</v>
      </c>
      <c r="F21" s="64"/>
      <c r="G21" s="65"/>
      <c r="H21" s="64"/>
      <c r="I21" s="63"/>
      <c r="J21" s="63"/>
      <c r="K21" s="64"/>
      <c r="L21" s="63"/>
      <c r="M21" s="63"/>
    </row>
    <row r="22" spans="1:13" outlineLevel="4">
      <c r="A22" s="3" t="s">
        <v>106</v>
      </c>
      <c r="B22" s="17" t="s">
        <v>17</v>
      </c>
      <c r="C22" s="21" t="s">
        <v>105</v>
      </c>
      <c r="D22" s="17" t="s">
        <v>13</v>
      </c>
      <c r="E22" s="19"/>
      <c r="F22" s="62">
        <f t="shared" ref="F22" si="15">SUM(F23:F24)</f>
        <v>509961</v>
      </c>
      <c r="G22" s="62">
        <f>SUM(G23:G24)</f>
        <v>344307.59</v>
      </c>
      <c r="H22" s="62">
        <f t="shared" ref="H22:M22" si="16">SUM(H23:H24)</f>
        <v>521387</v>
      </c>
      <c r="I22" s="62">
        <f t="shared" si="16"/>
        <v>521387</v>
      </c>
      <c r="J22" s="62">
        <f t="shared" si="16"/>
        <v>521387</v>
      </c>
      <c r="K22" s="62">
        <f t="shared" si="16"/>
        <v>521387</v>
      </c>
      <c r="L22" s="62">
        <f t="shared" si="16"/>
        <v>521387</v>
      </c>
      <c r="M22" s="62">
        <f t="shared" si="16"/>
        <v>521387</v>
      </c>
    </row>
    <row r="23" spans="1:13" outlineLevel="7">
      <c r="A23" s="4" t="s">
        <v>182</v>
      </c>
      <c r="B23" s="19" t="s">
        <v>17</v>
      </c>
      <c r="C23" s="87" t="s">
        <v>105</v>
      </c>
      <c r="D23" s="19" t="s">
        <v>18</v>
      </c>
      <c r="E23" s="19" t="s">
        <v>58</v>
      </c>
      <c r="F23" s="63">
        <v>391675</v>
      </c>
      <c r="G23" s="65">
        <v>265921.13</v>
      </c>
      <c r="H23" s="63">
        <v>400451</v>
      </c>
      <c r="I23" s="63">
        <v>400451</v>
      </c>
      <c r="J23" s="63">
        <v>400451</v>
      </c>
      <c r="K23" s="63">
        <v>400451</v>
      </c>
      <c r="L23" s="63">
        <v>400451</v>
      </c>
      <c r="M23" s="63">
        <v>400451</v>
      </c>
    </row>
    <row r="24" spans="1:13" outlineLevel="7">
      <c r="A24" s="4" t="s">
        <v>80</v>
      </c>
      <c r="B24" s="19" t="s">
        <v>17</v>
      </c>
      <c r="C24" s="87" t="s">
        <v>105</v>
      </c>
      <c r="D24" s="19" t="s">
        <v>59</v>
      </c>
      <c r="E24" s="19" t="s">
        <v>58</v>
      </c>
      <c r="F24" s="65">
        <v>118286</v>
      </c>
      <c r="G24" s="65">
        <v>78386.460000000006</v>
      </c>
      <c r="H24" s="65">
        <v>120936</v>
      </c>
      <c r="I24" s="65">
        <v>120936</v>
      </c>
      <c r="J24" s="65">
        <v>120936</v>
      </c>
      <c r="K24" s="65">
        <v>120936</v>
      </c>
      <c r="L24" s="65">
        <v>120936</v>
      </c>
      <c r="M24" s="65">
        <v>120936</v>
      </c>
    </row>
    <row r="25" spans="1:13" ht="25.5" outlineLevel="4">
      <c r="A25" s="3" t="s">
        <v>108</v>
      </c>
      <c r="B25" s="17" t="s">
        <v>17</v>
      </c>
      <c r="C25" s="21" t="s">
        <v>107</v>
      </c>
      <c r="D25" s="17" t="s">
        <v>13</v>
      </c>
      <c r="E25" s="17"/>
      <c r="F25" s="62">
        <f>F26+F27+F28+F31+F38+F54+F55+F56</f>
        <v>724808.69</v>
      </c>
      <c r="G25" s="62">
        <f t="shared" ref="G25:J25" si="17">G26+G27+G28+G31+G38+G54+G55+G56</f>
        <v>470150.84</v>
      </c>
      <c r="H25" s="62">
        <f t="shared" si="17"/>
        <v>780994.89</v>
      </c>
      <c r="I25" s="62">
        <f t="shared" si="17"/>
        <v>725480</v>
      </c>
      <c r="J25" s="62">
        <f t="shared" si="17"/>
        <v>660480</v>
      </c>
      <c r="K25" s="62">
        <f>K26+K27+K28+K31+K38+K54+K55+K56</f>
        <v>738995</v>
      </c>
      <c r="L25" s="62">
        <f t="shared" ref="L25:M25" si="18">L26+L27+L28+L31+L38+L54+L55+L56</f>
        <v>723480</v>
      </c>
      <c r="M25" s="62">
        <f t="shared" si="18"/>
        <v>658480</v>
      </c>
    </row>
    <row r="26" spans="1:13" outlineLevel="7">
      <c r="A26" s="82" t="s">
        <v>196</v>
      </c>
      <c r="B26" s="83" t="s">
        <v>17</v>
      </c>
      <c r="C26" s="87" t="s">
        <v>107</v>
      </c>
      <c r="D26" s="83" t="s">
        <v>18</v>
      </c>
      <c r="E26" s="83" t="s">
        <v>58</v>
      </c>
      <c r="F26" s="65">
        <v>344612</v>
      </c>
      <c r="G26" s="65">
        <v>229447.79</v>
      </c>
      <c r="H26" s="65">
        <v>352372</v>
      </c>
      <c r="I26" s="65">
        <v>352372</v>
      </c>
      <c r="J26" s="65">
        <v>352372</v>
      </c>
      <c r="K26" s="65">
        <v>352372</v>
      </c>
      <c r="L26" s="65">
        <v>352372</v>
      </c>
      <c r="M26" s="65">
        <v>352372</v>
      </c>
    </row>
    <row r="27" spans="1:13" outlineLevel="7">
      <c r="A27" s="4" t="s">
        <v>53</v>
      </c>
      <c r="B27" s="19" t="s">
        <v>17</v>
      </c>
      <c r="C27" s="87" t="s">
        <v>107</v>
      </c>
      <c r="D27" s="19" t="s">
        <v>59</v>
      </c>
      <c r="E27" s="19" t="s">
        <v>58</v>
      </c>
      <c r="F27" s="65">
        <v>104073</v>
      </c>
      <c r="G27" s="65">
        <v>65797.600000000006</v>
      </c>
      <c r="H27" s="65">
        <v>106416</v>
      </c>
      <c r="I27" s="65">
        <v>106416</v>
      </c>
      <c r="J27" s="65">
        <v>106416</v>
      </c>
      <c r="K27" s="65">
        <v>106416</v>
      </c>
      <c r="L27" s="65">
        <v>106416</v>
      </c>
      <c r="M27" s="65">
        <v>106416</v>
      </c>
    </row>
    <row r="28" spans="1:13" outlineLevel="7">
      <c r="A28" s="4"/>
      <c r="B28" s="19" t="s">
        <v>17</v>
      </c>
      <c r="C28" s="87" t="s">
        <v>107</v>
      </c>
      <c r="D28" s="19" t="s">
        <v>20</v>
      </c>
      <c r="E28" s="19" t="s">
        <v>58</v>
      </c>
      <c r="F28" s="65">
        <f>SUM(F29:F30)</f>
        <v>14400</v>
      </c>
      <c r="G28" s="65">
        <f t="shared" ref="G28:M28" si="19">SUM(G29:G30)</f>
        <v>4299.46</v>
      </c>
      <c r="H28" s="65">
        <f t="shared" si="19"/>
        <v>28800</v>
      </c>
      <c r="I28" s="65">
        <f t="shared" si="19"/>
        <v>28800</v>
      </c>
      <c r="J28" s="65">
        <f t="shared" si="19"/>
        <v>28800</v>
      </c>
      <c r="K28" s="65">
        <f t="shared" si="19"/>
        <v>28800</v>
      </c>
      <c r="L28" s="65">
        <f t="shared" si="19"/>
        <v>28800</v>
      </c>
      <c r="M28" s="65">
        <f t="shared" si="19"/>
        <v>28800</v>
      </c>
    </row>
    <row r="29" spans="1:13" outlineLevel="7">
      <c r="A29" s="4" t="s">
        <v>19</v>
      </c>
      <c r="B29" s="19"/>
      <c r="C29" s="22"/>
      <c r="D29" s="19"/>
      <c r="E29" s="19"/>
      <c r="F29" s="65">
        <v>14400</v>
      </c>
      <c r="G29" s="65">
        <v>4299.46</v>
      </c>
      <c r="H29" s="65">
        <v>28800</v>
      </c>
      <c r="I29" s="65">
        <v>28800</v>
      </c>
      <c r="J29" s="65">
        <v>28800</v>
      </c>
      <c r="K29" s="65">
        <v>28800</v>
      </c>
      <c r="L29" s="65">
        <v>28800</v>
      </c>
      <c r="M29" s="65">
        <v>28800</v>
      </c>
    </row>
    <row r="30" spans="1:13" outlineLevel="7">
      <c r="A30" s="4" t="s">
        <v>86</v>
      </c>
      <c r="B30" s="19"/>
      <c r="C30" s="22"/>
      <c r="D30" s="19"/>
      <c r="E30" s="19"/>
      <c r="F30" s="65"/>
      <c r="G30" s="65"/>
      <c r="H30" s="65"/>
      <c r="I30" s="65"/>
      <c r="J30" s="65"/>
      <c r="K30" s="65"/>
      <c r="L30" s="65"/>
      <c r="M30" s="65"/>
    </row>
    <row r="31" spans="1:13" ht="25.5" outlineLevel="5">
      <c r="A31" s="4" t="s">
        <v>74</v>
      </c>
      <c r="B31" s="19" t="s">
        <v>17</v>
      </c>
      <c r="C31" s="87" t="s">
        <v>107</v>
      </c>
      <c r="D31" s="19" t="s">
        <v>21</v>
      </c>
      <c r="E31" s="19" t="s">
        <v>58</v>
      </c>
      <c r="F31" s="65">
        <f>SUM(F32:F37)-44414</f>
        <v>40986</v>
      </c>
      <c r="G31" s="65">
        <f>SUM(G32:G37)</f>
        <v>28885.550000000003</v>
      </c>
      <c r="H31" s="65">
        <f t="shared" ref="H31:M31" si="20">SUM(H32:H37)</f>
        <v>59570.89</v>
      </c>
      <c r="I31" s="65">
        <f t="shared" si="20"/>
        <v>148056</v>
      </c>
      <c r="J31" s="65">
        <f t="shared" si="20"/>
        <v>83056</v>
      </c>
      <c r="K31" s="65">
        <f t="shared" si="20"/>
        <v>59571</v>
      </c>
      <c r="L31" s="65">
        <f t="shared" si="20"/>
        <v>148056</v>
      </c>
      <c r="M31" s="65">
        <f t="shared" si="20"/>
        <v>83056</v>
      </c>
    </row>
    <row r="32" spans="1:13" ht="25.5" outlineLevel="7">
      <c r="A32" s="8" t="s">
        <v>230</v>
      </c>
      <c r="B32" s="23"/>
      <c r="C32" s="24"/>
      <c r="D32" s="23"/>
      <c r="E32" s="23"/>
      <c r="F32" s="66">
        <v>10000</v>
      </c>
      <c r="G32" s="66">
        <v>6207.1</v>
      </c>
      <c r="H32" s="66">
        <v>10118</v>
      </c>
      <c r="I32" s="66">
        <v>10118</v>
      </c>
      <c r="J32" s="66">
        <v>10118</v>
      </c>
      <c r="K32" s="66">
        <v>10118</v>
      </c>
      <c r="L32" s="66">
        <v>10118</v>
      </c>
      <c r="M32" s="66">
        <v>10118</v>
      </c>
    </row>
    <row r="33" spans="1:13" outlineLevel="7">
      <c r="A33" s="9" t="s">
        <v>188</v>
      </c>
      <c r="B33" s="25"/>
      <c r="C33" s="26"/>
      <c r="D33" s="25"/>
      <c r="E33" s="25"/>
      <c r="F33" s="66"/>
      <c r="G33" s="66"/>
      <c r="H33" s="66"/>
      <c r="I33" s="66"/>
      <c r="J33" s="66"/>
      <c r="K33" s="66"/>
      <c r="L33" s="66"/>
      <c r="M33" s="66"/>
    </row>
    <row r="34" spans="1:13" ht="38.25" outlineLevel="7">
      <c r="A34" s="9" t="s">
        <v>231</v>
      </c>
      <c r="B34" s="25"/>
      <c r="C34" s="26"/>
      <c r="D34" s="25"/>
      <c r="E34" s="25"/>
      <c r="F34" s="66">
        <v>17000</v>
      </c>
      <c r="G34" s="66">
        <v>9178.4500000000007</v>
      </c>
      <c r="H34" s="66">
        <v>20542.89</v>
      </c>
      <c r="I34" s="66">
        <v>19028</v>
      </c>
      <c r="J34" s="66">
        <v>19028</v>
      </c>
      <c r="K34" s="66">
        <f>20542.89+0.11</f>
        <v>20543</v>
      </c>
      <c r="L34" s="66">
        <v>19028</v>
      </c>
      <c r="M34" s="66">
        <v>19028</v>
      </c>
    </row>
    <row r="35" spans="1:13" ht="25.5" outlineLevel="7">
      <c r="A35" s="8" t="s">
        <v>232</v>
      </c>
      <c r="B35" s="23"/>
      <c r="C35" s="24"/>
      <c r="D35" s="23"/>
      <c r="E35" s="23"/>
      <c r="F35" s="66"/>
      <c r="G35" s="66"/>
      <c r="H35" s="66">
        <v>4410</v>
      </c>
      <c r="I35" s="66">
        <v>4410</v>
      </c>
      <c r="J35" s="66">
        <v>4410</v>
      </c>
      <c r="K35" s="66">
        <v>4410</v>
      </c>
      <c r="L35" s="66">
        <v>4410</v>
      </c>
      <c r="M35" s="66">
        <v>4410</v>
      </c>
    </row>
    <row r="36" spans="1:13" ht="51" outlineLevel="7">
      <c r="A36" s="8" t="s">
        <v>265</v>
      </c>
      <c r="B36" s="23"/>
      <c r="C36" s="24"/>
      <c r="D36" s="23"/>
      <c r="E36" s="23"/>
      <c r="F36" s="66">
        <v>33400</v>
      </c>
      <c r="G36" s="66">
        <v>13500</v>
      </c>
      <c r="H36" s="66">
        <v>24500</v>
      </c>
      <c r="I36" s="66">
        <v>24500</v>
      </c>
      <c r="J36" s="66">
        <v>24500</v>
      </c>
      <c r="K36" s="66">
        <v>24500</v>
      </c>
      <c r="L36" s="66">
        <v>24500</v>
      </c>
      <c r="M36" s="66">
        <v>24500</v>
      </c>
    </row>
    <row r="37" spans="1:13" ht="25.5" outlineLevel="7">
      <c r="A37" s="8" t="s">
        <v>233</v>
      </c>
      <c r="B37" s="23"/>
      <c r="C37" s="24"/>
      <c r="D37" s="23"/>
      <c r="E37" s="23"/>
      <c r="F37" s="67">
        <v>25000</v>
      </c>
      <c r="G37" s="66"/>
      <c r="H37" s="67"/>
      <c r="I37" s="67">
        <v>90000</v>
      </c>
      <c r="J37" s="67">
        <v>25000</v>
      </c>
      <c r="K37" s="67"/>
      <c r="L37" s="67">
        <v>90000</v>
      </c>
      <c r="M37" s="67">
        <v>25000</v>
      </c>
    </row>
    <row r="38" spans="1:13" outlineLevel="5">
      <c r="A38" s="4" t="s">
        <v>87</v>
      </c>
      <c r="B38" s="19" t="s">
        <v>17</v>
      </c>
      <c r="C38" s="87" t="s">
        <v>107</v>
      </c>
      <c r="D38" s="19" t="s">
        <v>22</v>
      </c>
      <c r="E38" s="19" t="s">
        <v>58</v>
      </c>
      <c r="F38" s="68">
        <f>SUM(F39:F53)</f>
        <v>150699.43</v>
      </c>
      <c r="G38" s="68">
        <f>SUM(G39:G53)</f>
        <v>133500.43</v>
      </c>
      <c r="H38" s="68">
        <f t="shared" ref="H38:M38" si="21">SUM(H39:H53)</f>
        <v>202544</v>
      </c>
      <c r="I38" s="68">
        <f t="shared" si="21"/>
        <v>58544</v>
      </c>
      <c r="J38" s="68">
        <f t="shared" si="21"/>
        <v>58544</v>
      </c>
      <c r="K38" s="68">
        <f t="shared" si="21"/>
        <v>160544</v>
      </c>
      <c r="L38" s="68">
        <f t="shared" si="21"/>
        <v>56544</v>
      </c>
      <c r="M38" s="68">
        <f t="shared" si="21"/>
        <v>56544</v>
      </c>
    </row>
    <row r="39" spans="1:13" outlineLevel="5">
      <c r="A39" s="8" t="s">
        <v>23</v>
      </c>
      <c r="B39" s="23"/>
      <c r="C39" s="24"/>
      <c r="D39" s="23"/>
      <c r="E39" s="23"/>
      <c r="F39" s="67">
        <v>2000</v>
      </c>
      <c r="G39" s="66"/>
      <c r="H39" s="67">
        <v>4000</v>
      </c>
      <c r="I39" s="67">
        <v>4000</v>
      </c>
      <c r="J39" s="67">
        <v>4000</v>
      </c>
      <c r="K39" s="67">
        <v>2000</v>
      </c>
      <c r="L39" s="67">
        <v>2000</v>
      </c>
      <c r="M39" s="67">
        <v>2000</v>
      </c>
    </row>
    <row r="40" spans="1:13" outlineLevel="7">
      <c r="A40" s="11" t="s">
        <v>235</v>
      </c>
      <c r="B40" s="173"/>
      <c r="C40" s="175"/>
      <c r="D40" s="174"/>
      <c r="E40" s="29"/>
      <c r="F40" s="67">
        <v>0</v>
      </c>
      <c r="G40" s="75"/>
      <c r="H40" s="67">
        <v>120000</v>
      </c>
      <c r="I40" s="67"/>
      <c r="J40" s="67"/>
      <c r="K40" s="67">
        <v>100000</v>
      </c>
      <c r="L40" s="67"/>
      <c r="M40" s="67"/>
    </row>
    <row r="41" spans="1:13" outlineLevel="7">
      <c r="A41" s="11" t="s">
        <v>186</v>
      </c>
      <c r="B41" s="173"/>
      <c r="C41" s="175"/>
      <c r="D41" s="174"/>
      <c r="E41" s="29"/>
      <c r="F41" s="67">
        <f>30000-30000</f>
        <v>0</v>
      </c>
      <c r="G41" s="75"/>
      <c r="H41" s="67"/>
      <c r="I41" s="67"/>
      <c r="J41" s="67"/>
      <c r="K41" s="67"/>
      <c r="L41" s="67"/>
      <c r="M41" s="67"/>
    </row>
    <row r="42" spans="1:13" ht="15" customHeight="1" outlineLevel="7">
      <c r="A42" s="8" t="s">
        <v>91</v>
      </c>
      <c r="B42" s="23"/>
      <c r="C42" s="31"/>
      <c r="D42" s="23"/>
      <c r="E42" s="23"/>
      <c r="F42" s="67">
        <v>6650</v>
      </c>
      <c r="G42" s="66">
        <v>6650</v>
      </c>
      <c r="H42" s="67">
        <v>6000</v>
      </c>
      <c r="I42" s="67">
        <v>6000</v>
      </c>
      <c r="J42" s="67">
        <v>6000</v>
      </c>
      <c r="K42" s="67">
        <v>6000</v>
      </c>
      <c r="L42" s="67">
        <v>6000</v>
      </c>
      <c r="M42" s="67">
        <v>6000</v>
      </c>
    </row>
    <row r="43" spans="1:13" ht="15" customHeight="1" outlineLevel="7">
      <c r="A43" s="8" t="s">
        <v>187</v>
      </c>
      <c r="B43" s="23"/>
      <c r="C43" s="172"/>
      <c r="D43" s="23"/>
      <c r="E43" s="23"/>
      <c r="F43" s="67">
        <f>1600-1600</f>
        <v>0</v>
      </c>
      <c r="G43" s="66"/>
      <c r="H43" s="67"/>
      <c r="I43" s="67"/>
      <c r="J43" s="67"/>
      <c r="K43" s="67"/>
      <c r="L43" s="67"/>
      <c r="M43" s="67"/>
    </row>
    <row r="44" spans="1:13" outlineLevel="7">
      <c r="A44" s="8" t="s">
        <v>236</v>
      </c>
      <c r="B44" s="23"/>
      <c r="C44" s="24"/>
      <c r="D44" s="23"/>
      <c r="E44" s="23"/>
      <c r="F44" s="67">
        <f>2715-2715</f>
        <v>0</v>
      </c>
      <c r="G44" s="66"/>
      <c r="H44" s="67">
        <v>6408</v>
      </c>
      <c r="I44" s="67">
        <v>6408</v>
      </c>
      <c r="J44" s="67">
        <v>6408</v>
      </c>
      <c r="K44" s="67">
        <v>6408</v>
      </c>
      <c r="L44" s="67">
        <v>6408</v>
      </c>
      <c r="M44" s="67">
        <v>6408</v>
      </c>
    </row>
    <row r="45" spans="1:13" outlineLevel="7">
      <c r="A45" s="11" t="s">
        <v>88</v>
      </c>
      <c r="B45" s="29"/>
      <c r="C45" s="30"/>
      <c r="D45" s="29"/>
      <c r="E45" s="29"/>
      <c r="F45" s="67"/>
      <c r="G45" s="75"/>
      <c r="H45" s="67"/>
      <c r="I45" s="67"/>
      <c r="J45" s="67"/>
      <c r="K45" s="67"/>
      <c r="L45" s="67"/>
      <c r="M45" s="67"/>
    </row>
    <row r="46" spans="1:13" outlineLevel="7">
      <c r="A46" s="10" t="s">
        <v>237</v>
      </c>
      <c r="B46" s="27"/>
      <c r="C46" s="28"/>
      <c r="D46" s="27"/>
      <c r="E46" s="27"/>
      <c r="F46" s="67">
        <v>8524</v>
      </c>
      <c r="G46" s="75"/>
      <c r="H46" s="67">
        <v>10936</v>
      </c>
      <c r="I46" s="67">
        <v>10936</v>
      </c>
      <c r="J46" s="67">
        <v>10936</v>
      </c>
      <c r="K46" s="67">
        <v>10936</v>
      </c>
      <c r="L46" s="67">
        <v>10936</v>
      </c>
      <c r="M46" s="67">
        <v>10936</v>
      </c>
    </row>
    <row r="47" spans="1:13" outlineLevel="7">
      <c r="A47" s="10" t="s">
        <v>83</v>
      </c>
      <c r="B47" s="27"/>
      <c r="C47" s="28"/>
      <c r="D47" s="27"/>
      <c r="E47" s="27"/>
      <c r="F47" s="67">
        <f>2600-2600</f>
        <v>0</v>
      </c>
      <c r="G47" s="75"/>
      <c r="H47" s="67"/>
      <c r="I47" s="67"/>
      <c r="J47" s="67"/>
      <c r="K47" s="67"/>
      <c r="L47" s="67"/>
      <c r="M47" s="67"/>
    </row>
    <row r="48" spans="1:13" ht="27.75" customHeight="1" outlineLevel="7">
      <c r="A48" s="10" t="s">
        <v>238</v>
      </c>
      <c r="B48" s="27"/>
      <c r="C48" s="28"/>
      <c r="D48" s="27"/>
      <c r="E48" s="27"/>
      <c r="F48" s="67">
        <v>16000</v>
      </c>
      <c r="G48" s="75">
        <v>9325</v>
      </c>
      <c r="H48" s="67">
        <v>13200</v>
      </c>
      <c r="I48" s="67">
        <v>13200</v>
      </c>
      <c r="J48" s="67">
        <v>13200</v>
      </c>
      <c r="K48" s="67">
        <v>13200</v>
      </c>
      <c r="L48" s="67">
        <v>13200</v>
      </c>
      <c r="M48" s="67">
        <v>13200</v>
      </c>
    </row>
    <row r="49" spans="1:13" outlineLevel="7">
      <c r="A49" s="10" t="s">
        <v>239</v>
      </c>
      <c r="B49" s="27"/>
      <c r="C49" s="28"/>
      <c r="D49" s="27"/>
      <c r="E49" s="27"/>
      <c r="F49" s="67">
        <f>15000-15000</f>
        <v>0</v>
      </c>
      <c r="G49" s="75"/>
      <c r="H49" s="67">
        <v>24000</v>
      </c>
      <c r="I49" s="67"/>
      <c r="J49" s="67"/>
      <c r="K49" s="67">
        <v>4000</v>
      </c>
      <c r="L49" s="67"/>
      <c r="M49" s="67"/>
    </row>
    <row r="50" spans="1:13" ht="13.5" customHeight="1" outlineLevel="7">
      <c r="A50" s="10" t="s">
        <v>267</v>
      </c>
      <c r="B50" s="27"/>
      <c r="C50" s="28"/>
      <c r="D50" s="27"/>
      <c r="E50" s="27"/>
      <c r="F50" s="75">
        <v>5062.43</v>
      </c>
      <c r="G50" s="75">
        <v>5062.43</v>
      </c>
      <c r="H50" s="67"/>
      <c r="I50" s="67"/>
      <c r="J50" s="67"/>
      <c r="K50" s="67"/>
      <c r="L50" s="67"/>
      <c r="M50" s="67"/>
    </row>
    <row r="51" spans="1:13" outlineLevel="7">
      <c r="A51" s="10" t="s">
        <v>266</v>
      </c>
      <c r="B51" s="27"/>
      <c r="C51" s="28"/>
      <c r="D51" s="27"/>
      <c r="E51" s="27"/>
      <c r="F51" s="75">
        <v>100328</v>
      </c>
      <c r="G51" s="75">
        <v>100328</v>
      </c>
      <c r="H51" s="67"/>
      <c r="I51" s="67"/>
      <c r="J51" s="67"/>
      <c r="K51" s="67"/>
      <c r="L51" s="67"/>
      <c r="M51" s="67"/>
    </row>
    <row r="52" spans="1:13" outlineLevel="7">
      <c r="A52" s="8" t="s">
        <v>240</v>
      </c>
      <c r="B52" s="23"/>
      <c r="C52" s="24"/>
      <c r="D52" s="23"/>
      <c r="E52" s="23"/>
      <c r="F52" s="67">
        <v>10135</v>
      </c>
      <c r="G52" s="67">
        <v>10135</v>
      </c>
      <c r="H52" s="67">
        <v>12000</v>
      </c>
      <c r="I52" s="67">
        <v>12000</v>
      </c>
      <c r="J52" s="67">
        <v>12000</v>
      </c>
      <c r="K52" s="67">
        <v>12000</v>
      </c>
      <c r="L52" s="67">
        <v>12000</v>
      </c>
      <c r="M52" s="67">
        <v>12000</v>
      </c>
    </row>
    <row r="53" spans="1:13" outlineLevel="7">
      <c r="A53" s="8" t="s">
        <v>241</v>
      </c>
      <c r="B53" s="23"/>
      <c r="C53" s="24"/>
      <c r="D53" s="23"/>
      <c r="E53" s="23"/>
      <c r="F53" s="67">
        <v>2000</v>
      </c>
      <c r="G53" s="67">
        <v>2000</v>
      </c>
      <c r="H53" s="67">
        <v>6000</v>
      </c>
      <c r="I53" s="67">
        <v>6000</v>
      </c>
      <c r="J53" s="67">
        <v>6000</v>
      </c>
      <c r="K53" s="67">
        <v>6000</v>
      </c>
      <c r="L53" s="67">
        <v>6000</v>
      </c>
      <c r="M53" s="67">
        <v>6000</v>
      </c>
    </row>
    <row r="54" spans="1:13" ht="25.5" outlineLevel="7">
      <c r="A54" s="195" t="s">
        <v>234</v>
      </c>
      <c r="B54" s="35" t="s">
        <v>17</v>
      </c>
      <c r="C54" s="87" t="s">
        <v>107</v>
      </c>
      <c r="D54" s="35" t="s">
        <v>243</v>
      </c>
      <c r="E54" s="35" t="s">
        <v>58</v>
      </c>
      <c r="F54" s="196">
        <f>70722-4317.74</f>
        <v>66404.259999999995</v>
      </c>
      <c r="G54" s="73">
        <f>7062.11</f>
        <v>7062.11</v>
      </c>
      <c r="H54" s="196">
        <v>27694</v>
      </c>
      <c r="I54" s="196">
        <v>27694</v>
      </c>
      <c r="J54" s="196">
        <v>27694</v>
      </c>
      <c r="K54" s="196">
        <v>27694</v>
      </c>
      <c r="L54" s="196">
        <v>27694</v>
      </c>
      <c r="M54" s="196">
        <v>27694</v>
      </c>
    </row>
    <row r="55" spans="1:13" outlineLevel="7">
      <c r="A55" s="4" t="s">
        <v>92</v>
      </c>
      <c r="B55" s="19" t="s">
        <v>17</v>
      </c>
      <c r="C55" s="87" t="s">
        <v>107</v>
      </c>
      <c r="D55" s="19" t="s">
        <v>24</v>
      </c>
      <c r="E55" s="19" t="s">
        <v>58</v>
      </c>
      <c r="F55" s="65">
        <v>1000</v>
      </c>
      <c r="G55" s="65"/>
      <c r="H55" s="65">
        <v>1000</v>
      </c>
      <c r="I55" s="65">
        <v>1000</v>
      </c>
      <c r="J55" s="65">
        <v>1000</v>
      </c>
      <c r="K55" s="65">
        <v>1000</v>
      </c>
      <c r="L55" s="65">
        <v>1000</v>
      </c>
      <c r="M55" s="65">
        <v>1000</v>
      </c>
    </row>
    <row r="56" spans="1:13" outlineLevel="7">
      <c r="A56" s="49"/>
      <c r="B56" s="50" t="s">
        <v>17</v>
      </c>
      <c r="C56" s="87" t="s">
        <v>107</v>
      </c>
      <c r="D56" s="50" t="s">
        <v>26</v>
      </c>
      <c r="E56" s="50" t="s">
        <v>58</v>
      </c>
      <c r="F56" s="69">
        <f>SUM(F57:F59)</f>
        <v>2634</v>
      </c>
      <c r="G56" s="69">
        <f t="shared" ref="G56:M56" si="22">SUM(G57:G59)</f>
        <v>1157.9000000000001</v>
      </c>
      <c r="H56" s="69">
        <f t="shared" si="22"/>
        <v>2598</v>
      </c>
      <c r="I56" s="69">
        <f t="shared" si="22"/>
        <v>2598</v>
      </c>
      <c r="J56" s="69">
        <f t="shared" si="22"/>
        <v>2598</v>
      </c>
      <c r="K56" s="69">
        <f t="shared" si="22"/>
        <v>2598</v>
      </c>
      <c r="L56" s="69">
        <f t="shared" si="22"/>
        <v>2598</v>
      </c>
      <c r="M56" s="69">
        <f t="shared" si="22"/>
        <v>2598</v>
      </c>
    </row>
    <row r="57" spans="1:13" outlineLevel="7">
      <c r="A57" s="54" t="s">
        <v>25</v>
      </c>
      <c r="B57" s="55"/>
      <c r="C57" s="31"/>
      <c r="D57" s="55"/>
      <c r="E57" s="55"/>
      <c r="F57" s="70">
        <f>1010+133</f>
        <v>1143</v>
      </c>
      <c r="G57" s="70">
        <v>1143</v>
      </c>
      <c r="H57" s="70">
        <v>1143</v>
      </c>
      <c r="I57" s="70">
        <v>1143</v>
      </c>
      <c r="J57" s="70">
        <v>1143</v>
      </c>
      <c r="K57" s="70">
        <v>1143</v>
      </c>
      <c r="L57" s="70">
        <v>1143</v>
      </c>
      <c r="M57" s="70">
        <v>1143</v>
      </c>
    </row>
    <row r="58" spans="1:13" outlineLevel="7">
      <c r="A58" s="54" t="s">
        <v>93</v>
      </c>
      <c r="B58" s="55"/>
      <c r="C58" s="31"/>
      <c r="D58" s="55"/>
      <c r="E58" s="55"/>
      <c r="F58" s="70">
        <f>1000-133</f>
        <v>867</v>
      </c>
      <c r="G58" s="70">
        <v>14.9</v>
      </c>
      <c r="H58" s="70">
        <v>1000</v>
      </c>
      <c r="I58" s="70">
        <v>1000</v>
      </c>
      <c r="J58" s="70">
        <v>1000</v>
      </c>
      <c r="K58" s="70">
        <v>1000</v>
      </c>
      <c r="L58" s="70">
        <v>1000</v>
      </c>
      <c r="M58" s="70">
        <v>1000</v>
      </c>
    </row>
    <row r="59" spans="1:13" outlineLevel="7">
      <c r="A59" s="54" t="s">
        <v>98</v>
      </c>
      <c r="B59" s="55"/>
      <c r="C59" s="31"/>
      <c r="D59" s="55"/>
      <c r="E59" s="55"/>
      <c r="F59" s="70">
        <v>624</v>
      </c>
      <c r="G59" s="70"/>
      <c r="H59" s="70">
        <v>455</v>
      </c>
      <c r="I59" s="70">
        <v>455</v>
      </c>
      <c r="J59" s="70">
        <v>455</v>
      </c>
      <c r="K59" s="70">
        <v>455</v>
      </c>
      <c r="L59" s="70">
        <v>455</v>
      </c>
      <c r="M59" s="70">
        <v>455</v>
      </c>
    </row>
    <row r="60" spans="1:13" ht="25.5" outlineLevel="7">
      <c r="A60" s="139" t="s">
        <v>40</v>
      </c>
      <c r="B60" s="140"/>
      <c r="C60" s="141"/>
      <c r="D60" s="142"/>
      <c r="E60" s="142"/>
      <c r="F60" s="62">
        <f>SUM(F61:F69)</f>
        <v>372382</v>
      </c>
      <c r="G60" s="62">
        <f t="shared" ref="G60:J60" si="23">SUM(G61:G69)</f>
        <v>213411</v>
      </c>
      <c r="H60" s="62">
        <f t="shared" si="23"/>
        <v>689633</v>
      </c>
      <c r="I60" s="62">
        <f t="shared" si="23"/>
        <v>681579</v>
      </c>
      <c r="J60" s="62">
        <f t="shared" si="23"/>
        <v>680915</v>
      </c>
      <c r="K60" s="62">
        <f>SUM(K61:K69)</f>
        <v>592694</v>
      </c>
      <c r="L60" s="62">
        <f t="shared" ref="L60:M60" si="24">SUM(L61:L69)</f>
        <v>591438</v>
      </c>
      <c r="M60" s="62">
        <f t="shared" si="24"/>
        <v>591438</v>
      </c>
    </row>
    <row r="61" spans="1:13" ht="38.25" outlineLevel="7">
      <c r="A61" s="8" t="s">
        <v>131</v>
      </c>
      <c r="B61" s="23" t="s">
        <v>42</v>
      </c>
      <c r="C61" s="31" t="s">
        <v>115</v>
      </c>
      <c r="D61" s="23" t="s">
        <v>41</v>
      </c>
      <c r="E61" s="23" t="s">
        <v>58</v>
      </c>
      <c r="F61" s="66">
        <v>37000</v>
      </c>
      <c r="G61" s="66">
        <v>37000</v>
      </c>
      <c r="H61" s="66">
        <v>51605</v>
      </c>
      <c r="I61" s="66">
        <v>50593</v>
      </c>
      <c r="J61" s="66">
        <v>49929</v>
      </c>
      <c r="K61" s="66">
        <v>45000</v>
      </c>
      <c r="L61" s="66">
        <v>45000</v>
      </c>
      <c r="M61" s="66">
        <v>45000</v>
      </c>
    </row>
    <row r="62" spans="1:13" ht="38.25" outlineLevel="7">
      <c r="A62" s="8" t="s">
        <v>132</v>
      </c>
      <c r="B62" s="23" t="s">
        <v>30</v>
      </c>
      <c r="C62" s="31" t="s">
        <v>115</v>
      </c>
      <c r="D62" s="23" t="s">
        <v>41</v>
      </c>
      <c r="E62" s="23" t="s">
        <v>58</v>
      </c>
      <c r="F62" s="66">
        <v>195000</v>
      </c>
      <c r="G62" s="66">
        <v>130000</v>
      </c>
      <c r="H62" s="66">
        <v>221934</v>
      </c>
      <c r="I62" s="66">
        <v>216148</v>
      </c>
      <c r="J62" s="66">
        <v>216148</v>
      </c>
      <c r="K62" s="66">
        <v>205000</v>
      </c>
      <c r="L62" s="66">
        <v>205000</v>
      </c>
      <c r="M62" s="66">
        <v>205000</v>
      </c>
    </row>
    <row r="63" spans="1:13" ht="25.5" outlineLevel="7">
      <c r="A63" s="8" t="s">
        <v>76</v>
      </c>
      <c r="B63" s="23" t="s">
        <v>30</v>
      </c>
      <c r="C63" s="31" t="s">
        <v>116</v>
      </c>
      <c r="D63" s="23" t="s">
        <v>41</v>
      </c>
      <c r="E63" s="23" t="s">
        <v>58</v>
      </c>
      <c r="F63" s="66">
        <v>25000</v>
      </c>
      <c r="G63" s="66">
        <v>25000</v>
      </c>
      <c r="H63" s="66">
        <v>26794</v>
      </c>
      <c r="I63" s="66">
        <v>25538</v>
      </c>
      <c r="J63" s="66">
        <v>25538</v>
      </c>
      <c r="K63" s="66">
        <v>26794</v>
      </c>
      <c r="L63" s="66">
        <v>25538</v>
      </c>
      <c r="M63" s="66">
        <v>25538</v>
      </c>
    </row>
    <row r="64" spans="1:13" ht="38.25" outlineLevel="7">
      <c r="A64" s="8" t="s">
        <v>133</v>
      </c>
      <c r="B64" s="23" t="s">
        <v>30</v>
      </c>
      <c r="C64" s="31" t="s">
        <v>117</v>
      </c>
      <c r="D64" s="23" t="s">
        <v>41</v>
      </c>
      <c r="E64" s="23" t="s">
        <v>58</v>
      </c>
      <c r="F64" s="66">
        <v>2400</v>
      </c>
      <c r="G64" s="66">
        <v>2400</v>
      </c>
      <c r="H64" s="66">
        <v>2424</v>
      </c>
      <c r="I64" s="66">
        <v>2424</v>
      </c>
      <c r="J64" s="66">
        <v>2424</v>
      </c>
      <c r="K64" s="66">
        <v>2424</v>
      </c>
      <c r="L64" s="66">
        <v>2424</v>
      </c>
      <c r="M64" s="66">
        <v>2424</v>
      </c>
    </row>
    <row r="65" spans="1:13" ht="27" customHeight="1" outlineLevel="7">
      <c r="A65" s="8" t="s">
        <v>77</v>
      </c>
      <c r="B65" s="23" t="s">
        <v>43</v>
      </c>
      <c r="C65" s="31" t="s">
        <v>118</v>
      </c>
      <c r="D65" s="23" t="s">
        <v>41</v>
      </c>
      <c r="E65" s="23" t="s">
        <v>58</v>
      </c>
      <c r="F65" s="66"/>
      <c r="G65" s="66"/>
      <c r="H65" s="66">
        <v>8176</v>
      </c>
      <c r="I65" s="66">
        <v>8176</v>
      </c>
      <c r="J65" s="66">
        <v>8176</v>
      </c>
      <c r="K65" s="66">
        <v>8176</v>
      </c>
      <c r="L65" s="66">
        <v>8176</v>
      </c>
      <c r="M65" s="66">
        <v>8176</v>
      </c>
    </row>
    <row r="66" spans="1:13" outlineLevel="7">
      <c r="A66" s="96" t="s">
        <v>90</v>
      </c>
      <c r="B66" s="23" t="s">
        <v>12</v>
      </c>
      <c r="C66" s="31" t="s">
        <v>113</v>
      </c>
      <c r="D66" s="23" t="s">
        <v>41</v>
      </c>
      <c r="E66" s="23" t="s">
        <v>58</v>
      </c>
      <c r="F66" s="94">
        <v>4424</v>
      </c>
      <c r="G66" s="94">
        <v>4424</v>
      </c>
      <c r="H66" s="94">
        <v>5592</v>
      </c>
      <c r="I66" s="94">
        <v>5592</v>
      </c>
      <c r="J66" s="94">
        <v>5592</v>
      </c>
      <c r="K66" s="94">
        <v>5592</v>
      </c>
      <c r="L66" s="94">
        <v>5592</v>
      </c>
      <c r="M66" s="94">
        <v>5592</v>
      </c>
    </row>
    <row r="67" spans="1:13" ht="25.5" outlineLevel="7">
      <c r="A67" s="8" t="s">
        <v>78</v>
      </c>
      <c r="B67" s="23" t="s">
        <v>39</v>
      </c>
      <c r="C67" s="31" t="s">
        <v>119</v>
      </c>
      <c r="D67" s="23" t="s">
        <v>41</v>
      </c>
      <c r="E67" s="23" t="s">
        <v>58</v>
      </c>
      <c r="F67" s="94">
        <v>101240</v>
      </c>
      <c r="G67" s="94">
        <v>7269</v>
      </c>
      <c r="H67" s="94">
        <v>323365</v>
      </c>
      <c r="I67" s="94">
        <v>323365</v>
      </c>
      <c r="J67" s="94">
        <v>323365</v>
      </c>
      <c r="K67" s="94">
        <f>323365-60000</f>
        <v>263365</v>
      </c>
      <c r="L67" s="94">
        <f t="shared" ref="L67:M67" si="25">323365-60000</f>
        <v>263365</v>
      </c>
      <c r="M67" s="94">
        <f t="shared" si="25"/>
        <v>263365</v>
      </c>
    </row>
    <row r="68" spans="1:13" ht="38.25" outlineLevel="7">
      <c r="A68" s="97" t="s">
        <v>79</v>
      </c>
      <c r="B68" s="98" t="s">
        <v>44</v>
      </c>
      <c r="C68" s="99" t="s">
        <v>120</v>
      </c>
      <c r="D68" s="98" t="s">
        <v>41</v>
      </c>
      <c r="E68" s="98" t="s">
        <v>58</v>
      </c>
      <c r="F68" s="94">
        <v>7318</v>
      </c>
      <c r="G68" s="94">
        <v>7318</v>
      </c>
      <c r="H68" s="94">
        <v>49743</v>
      </c>
      <c r="I68" s="94">
        <v>49743</v>
      </c>
      <c r="J68" s="94">
        <v>49743</v>
      </c>
      <c r="K68" s="94">
        <f>49743-13400</f>
        <v>36343</v>
      </c>
      <c r="L68" s="94">
        <f t="shared" ref="L68:M68" si="26">49743-13400</f>
        <v>36343</v>
      </c>
      <c r="M68" s="94">
        <f t="shared" si="26"/>
        <v>36343</v>
      </c>
    </row>
    <row r="69" spans="1:13" outlineLevel="7">
      <c r="A69" s="54" t="s">
        <v>114</v>
      </c>
      <c r="B69" s="100" t="s">
        <v>30</v>
      </c>
      <c r="C69" s="31" t="s">
        <v>121</v>
      </c>
      <c r="D69" s="101" t="s">
        <v>41</v>
      </c>
      <c r="E69" s="23" t="s">
        <v>58</v>
      </c>
      <c r="F69" s="94">
        <v>0</v>
      </c>
      <c r="G69" s="94">
        <v>0</v>
      </c>
      <c r="H69" s="94"/>
      <c r="I69" s="67"/>
      <c r="J69" s="67"/>
      <c r="K69" s="94"/>
      <c r="L69" s="67"/>
      <c r="M69" s="67"/>
    </row>
    <row r="70" spans="1:13" outlineLevel="4">
      <c r="A70" s="156" t="s">
        <v>178</v>
      </c>
      <c r="B70" s="17" t="s">
        <v>28</v>
      </c>
      <c r="C70" s="158" t="s">
        <v>112</v>
      </c>
      <c r="D70" s="17" t="s">
        <v>29</v>
      </c>
      <c r="E70" s="17" t="s">
        <v>58</v>
      </c>
      <c r="F70" s="157">
        <f t="shared" ref="F70:M70" si="27">SUM(F71:F72)</f>
        <v>11000</v>
      </c>
      <c r="G70" s="157">
        <f t="shared" si="27"/>
        <v>0</v>
      </c>
      <c r="H70" s="157">
        <f t="shared" si="27"/>
        <v>11000</v>
      </c>
      <c r="I70" s="157">
        <f t="shared" si="27"/>
        <v>11000</v>
      </c>
      <c r="J70" s="157">
        <f t="shared" si="27"/>
        <v>11000</v>
      </c>
      <c r="K70" s="157">
        <f t="shared" si="27"/>
        <v>8000</v>
      </c>
      <c r="L70" s="157">
        <f t="shared" si="27"/>
        <v>8000</v>
      </c>
      <c r="M70" s="157">
        <f t="shared" si="27"/>
        <v>8000</v>
      </c>
    </row>
    <row r="71" spans="1:13" ht="28.5" customHeight="1" outlineLevel="4">
      <c r="A71" s="54" t="s">
        <v>179</v>
      </c>
      <c r="B71" s="119"/>
      <c r="C71" s="123"/>
      <c r="D71" s="121"/>
      <c r="E71" s="17"/>
      <c r="F71" s="67">
        <v>6000</v>
      </c>
      <c r="G71" s="66"/>
      <c r="H71" s="67">
        <v>6000</v>
      </c>
      <c r="I71" s="67">
        <v>6000</v>
      </c>
      <c r="J71" s="67">
        <v>6000</v>
      </c>
      <c r="K71" s="67">
        <v>3000</v>
      </c>
      <c r="L71" s="67">
        <v>3000</v>
      </c>
      <c r="M71" s="67">
        <v>3000</v>
      </c>
    </row>
    <row r="72" spans="1:13" outlineLevel="4">
      <c r="A72" s="54" t="s">
        <v>180</v>
      </c>
      <c r="B72" s="119"/>
      <c r="C72" s="123"/>
      <c r="D72" s="121"/>
      <c r="E72" s="17"/>
      <c r="F72" s="67">
        <v>5000</v>
      </c>
      <c r="G72" s="66"/>
      <c r="H72" s="67">
        <v>5000</v>
      </c>
      <c r="I72" s="67">
        <v>5000</v>
      </c>
      <c r="J72" s="67">
        <v>5000</v>
      </c>
      <c r="K72" s="67">
        <v>5000</v>
      </c>
      <c r="L72" s="67">
        <v>5000</v>
      </c>
      <c r="M72" s="67">
        <v>5000</v>
      </c>
    </row>
    <row r="73" spans="1:13" ht="25.5" outlineLevel="4">
      <c r="A73" s="7" t="s">
        <v>70</v>
      </c>
      <c r="B73" s="17"/>
      <c r="C73" s="21" t="s">
        <v>111</v>
      </c>
      <c r="D73" s="17" t="s">
        <v>22</v>
      </c>
      <c r="E73" s="17" t="s">
        <v>58</v>
      </c>
      <c r="F73" s="72">
        <f>SUM(F74:F77)</f>
        <v>8000</v>
      </c>
      <c r="G73" s="72">
        <f t="shared" ref="G73:M73" si="28">SUM(G74:G77)</f>
        <v>0</v>
      </c>
      <c r="H73" s="72">
        <f t="shared" si="28"/>
        <v>8000</v>
      </c>
      <c r="I73" s="72">
        <f t="shared" si="28"/>
        <v>0</v>
      </c>
      <c r="J73" s="72">
        <f t="shared" si="28"/>
        <v>0</v>
      </c>
      <c r="K73" s="72">
        <f t="shared" si="28"/>
        <v>0</v>
      </c>
      <c r="L73" s="72">
        <f t="shared" si="28"/>
        <v>0</v>
      </c>
      <c r="M73" s="72">
        <f t="shared" si="28"/>
        <v>0</v>
      </c>
    </row>
    <row r="74" spans="1:13" ht="38.25" outlineLevel="4">
      <c r="A74" s="8" t="s">
        <v>190</v>
      </c>
      <c r="B74" s="23" t="s">
        <v>32</v>
      </c>
      <c r="C74" s="31" t="s">
        <v>111</v>
      </c>
      <c r="D74" s="23" t="s">
        <v>22</v>
      </c>
      <c r="E74" s="23" t="s">
        <v>58</v>
      </c>
      <c r="F74" s="67">
        <v>8000</v>
      </c>
      <c r="G74" s="66"/>
      <c r="H74" s="67">
        <v>8000</v>
      </c>
      <c r="I74" s="67"/>
      <c r="J74" s="67"/>
      <c r="K74" s="67"/>
      <c r="L74" s="67"/>
      <c r="M74" s="67"/>
    </row>
    <row r="75" spans="1:13" outlineLevel="4">
      <c r="A75" s="8"/>
      <c r="B75" s="23" t="s">
        <v>30</v>
      </c>
      <c r="C75" s="31" t="s">
        <v>111</v>
      </c>
      <c r="D75" s="23" t="s">
        <v>22</v>
      </c>
      <c r="E75" s="23" t="s">
        <v>58</v>
      </c>
      <c r="F75" s="67"/>
      <c r="G75" s="66"/>
      <c r="H75" s="67"/>
      <c r="I75" s="67"/>
      <c r="J75" s="67"/>
      <c r="K75" s="67"/>
      <c r="L75" s="67"/>
      <c r="M75" s="67"/>
    </row>
    <row r="76" spans="1:13" ht="25.5" outlineLevel="4">
      <c r="A76" s="8" t="s">
        <v>203</v>
      </c>
      <c r="B76" s="23" t="s">
        <v>32</v>
      </c>
      <c r="C76" s="31" t="s">
        <v>204</v>
      </c>
      <c r="D76" s="23" t="s">
        <v>22</v>
      </c>
      <c r="E76" s="23" t="s">
        <v>176</v>
      </c>
      <c r="F76" s="67"/>
      <c r="G76" s="66"/>
      <c r="H76" s="67"/>
      <c r="I76" s="197"/>
      <c r="J76" s="67"/>
      <c r="K76" s="67"/>
      <c r="L76" s="197"/>
      <c r="M76" s="67"/>
    </row>
    <row r="77" spans="1:13" outlineLevel="4">
      <c r="A77" s="8" t="s">
        <v>205</v>
      </c>
      <c r="B77" s="23" t="s">
        <v>32</v>
      </c>
      <c r="C77" s="31" t="s">
        <v>204</v>
      </c>
      <c r="D77" s="23" t="s">
        <v>22</v>
      </c>
      <c r="E77" s="23" t="s">
        <v>82</v>
      </c>
      <c r="F77" s="67"/>
      <c r="G77" s="66"/>
      <c r="H77" s="67"/>
      <c r="I77" s="197"/>
      <c r="J77" s="67"/>
      <c r="K77" s="67"/>
      <c r="L77" s="197"/>
      <c r="M77" s="67"/>
    </row>
    <row r="78" spans="1:13" outlineLevel="4">
      <c r="A78" s="7" t="s">
        <v>73</v>
      </c>
      <c r="B78" s="17" t="s">
        <v>30</v>
      </c>
      <c r="C78" s="21" t="s">
        <v>122</v>
      </c>
      <c r="D78" s="17" t="s">
        <v>22</v>
      </c>
      <c r="E78" s="17" t="s">
        <v>58</v>
      </c>
      <c r="F78" s="62">
        <f t="shared" ref="F78:M78" si="29">SUM(F79:F80)</f>
        <v>0</v>
      </c>
      <c r="G78" s="62">
        <f t="shared" si="29"/>
        <v>0</v>
      </c>
      <c r="H78" s="62">
        <f t="shared" si="29"/>
        <v>1000</v>
      </c>
      <c r="I78" s="62">
        <f t="shared" si="29"/>
        <v>1000</v>
      </c>
      <c r="J78" s="62">
        <f t="shared" si="29"/>
        <v>1000</v>
      </c>
      <c r="K78" s="62">
        <f t="shared" si="29"/>
        <v>1000</v>
      </c>
      <c r="L78" s="62">
        <f t="shared" si="29"/>
        <v>1000</v>
      </c>
      <c r="M78" s="62">
        <f t="shared" si="29"/>
        <v>1000</v>
      </c>
    </row>
    <row r="79" spans="1:13" ht="25.5" outlineLevel="4">
      <c r="A79" s="8" t="s">
        <v>181</v>
      </c>
      <c r="B79" s="23"/>
      <c r="C79" s="31"/>
      <c r="D79" s="23"/>
      <c r="E79" s="23"/>
      <c r="F79" s="66"/>
      <c r="G79" s="66"/>
      <c r="H79" s="66">
        <v>1000</v>
      </c>
      <c r="I79" s="66">
        <v>1000</v>
      </c>
      <c r="J79" s="66">
        <v>1000</v>
      </c>
      <c r="K79" s="66">
        <v>1000</v>
      </c>
      <c r="L79" s="66">
        <v>1000</v>
      </c>
      <c r="M79" s="66">
        <v>1000</v>
      </c>
    </row>
    <row r="80" spans="1:13" outlineLevel="4">
      <c r="A80" s="8"/>
      <c r="B80" s="23"/>
      <c r="C80" s="31"/>
      <c r="D80" s="23"/>
      <c r="E80" s="23"/>
      <c r="F80" s="66"/>
      <c r="G80" s="66"/>
      <c r="H80" s="66"/>
      <c r="I80" s="66"/>
      <c r="J80" s="66"/>
      <c r="K80" s="66"/>
      <c r="L80" s="66"/>
      <c r="M80" s="66"/>
    </row>
    <row r="81" spans="1:13" outlineLevel="4">
      <c r="A81" s="7" t="s">
        <v>71</v>
      </c>
      <c r="B81" s="17" t="s">
        <v>30</v>
      </c>
      <c r="C81" s="21" t="s">
        <v>123</v>
      </c>
      <c r="D81" s="17" t="s">
        <v>22</v>
      </c>
      <c r="E81" s="17" t="s">
        <v>58</v>
      </c>
      <c r="F81" s="62">
        <v>20000</v>
      </c>
      <c r="G81" s="62">
        <v>5484</v>
      </c>
      <c r="H81" s="62">
        <v>20000</v>
      </c>
      <c r="I81" s="62">
        <v>20000</v>
      </c>
      <c r="J81" s="62">
        <v>20000</v>
      </c>
      <c r="K81" s="62">
        <v>20000</v>
      </c>
      <c r="L81" s="62">
        <v>20000</v>
      </c>
      <c r="M81" s="62">
        <v>20000</v>
      </c>
    </row>
    <row r="82" spans="1:13" ht="15.75" customHeight="1" outlineLevel="4">
      <c r="A82" s="51" t="s">
        <v>110</v>
      </c>
      <c r="B82" s="52" t="s">
        <v>27</v>
      </c>
      <c r="C82" s="53" t="s">
        <v>109</v>
      </c>
      <c r="D82" s="52" t="s">
        <v>242</v>
      </c>
      <c r="E82" s="52" t="s">
        <v>58</v>
      </c>
      <c r="F82" s="62">
        <v>65000</v>
      </c>
      <c r="G82" s="62">
        <v>65000</v>
      </c>
      <c r="H82" s="62">
        <v>0</v>
      </c>
      <c r="I82" s="62">
        <v>0</v>
      </c>
      <c r="J82" s="62">
        <v>0</v>
      </c>
      <c r="K82" s="62">
        <v>0</v>
      </c>
      <c r="L82" s="62">
        <v>0</v>
      </c>
      <c r="M82" s="62">
        <v>0</v>
      </c>
    </row>
    <row r="83" spans="1:13" ht="15.75" customHeight="1" outlineLevel="4">
      <c r="A83" s="156" t="s">
        <v>126</v>
      </c>
      <c r="B83" s="126" t="s">
        <v>30</v>
      </c>
      <c r="C83" s="56" t="s">
        <v>125</v>
      </c>
      <c r="D83" s="126" t="s">
        <v>29</v>
      </c>
      <c r="E83" s="126" t="s">
        <v>58</v>
      </c>
      <c r="F83" s="62">
        <f t="shared" ref="F83:M83" si="30">SUM(F84:F85)</f>
        <v>7109</v>
      </c>
      <c r="G83" s="62">
        <f t="shared" si="30"/>
        <v>0</v>
      </c>
      <c r="H83" s="62">
        <f t="shared" si="30"/>
        <v>7109</v>
      </c>
      <c r="I83" s="62">
        <f t="shared" si="30"/>
        <v>7109</v>
      </c>
      <c r="J83" s="62">
        <f t="shared" si="30"/>
        <v>7109</v>
      </c>
      <c r="K83" s="62">
        <f t="shared" si="30"/>
        <v>0</v>
      </c>
      <c r="L83" s="62">
        <f t="shared" si="30"/>
        <v>0</v>
      </c>
      <c r="M83" s="62">
        <f t="shared" si="30"/>
        <v>0</v>
      </c>
    </row>
    <row r="84" spans="1:13" ht="15.75" customHeight="1" outlineLevel="4">
      <c r="A84" s="201" t="s">
        <v>197</v>
      </c>
      <c r="B84" s="100"/>
      <c r="C84" s="31"/>
      <c r="D84" s="100"/>
      <c r="E84" s="100"/>
      <c r="F84" s="162">
        <v>7109</v>
      </c>
      <c r="G84" s="162"/>
      <c r="H84" s="162">
        <v>7109</v>
      </c>
      <c r="I84" s="162">
        <v>7109</v>
      </c>
      <c r="J84" s="162">
        <v>7109</v>
      </c>
      <c r="K84" s="229"/>
      <c r="L84" s="229"/>
      <c r="M84" s="229"/>
    </row>
    <row r="85" spans="1:13" ht="15.75" customHeight="1" outlineLevel="4">
      <c r="A85" s="54"/>
      <c r="B85" s="100"/>
      <c r="C85" s="31"/>
      <c r="D85" s="100"/>
      <c r="E85" s="100"/>
      <c r="F85" s="162"/>
      <c r="G85" s="162"/>
      <c r="H85" s="162"/>
      <c r="I85" s="162"/>
      <c r="J85" s="162"/>
      <c r="K85" s="162"/>
      <c r="L85" s="162"/>
      <c r="M85" s="162"/>
    </row>
    <row r="86" spans="1:13" ht="15.75" customHeight="1" outlineLevel="4">
      <c r="A86" s="159" t="s">
        <v>165</v>
      </c>
      <c r="B86" s="160"/>
      <c r="C86" s="161" t="s">
        <v>167</v>
      </c>
      <c r="D86" s="160" t="s">
        <v>22</v>
      </c>
      <c r="E86" s="160" t="s">
        <v>58</v>
      </c>
      <c r="F86" s="163">
        <f>F87+F88</f>
        <v>120000</v>
      </c>
      <c r="G86" s="163">
        <f t="shared" ref="G86:M86" si="31">G87+G88</f>
        <v>19176</v>
      </c>
      <c r="H86" s="163">
        <f t="shared" si="31"/>
        <v>20000</v>
      </c>
      <c r="I86" s="163">
        <f t="shared" si="31"/>
        <v>20000</v>
      </c>
      <c r="J86" s="163">
        <f t="shared" si="31"/>
        <v>20000</v>
      </c>
      <c r="K86" s="163">
        <f t="shared" si="31"/>
        <v>0</v>
      </c>
      <c r="L86" s="163">
        <f t="shared" si="31"/>
        <v>0</v>
      </c>
      <c r="M86" s="163">
        <f t="shared" si="31"/>
        <v>0</v>
      </c>
    </row>
    <row r="87" spans="1:13" ht="15.75" customHeight="1" outlineLevel="4">
      <c r="A87" s="54" t="s">
        <v>166</v>
      </c>
      <c r="B87" s="100" t="s">
        <v>39</v>
      </c>
      <c r="C87" s="99" t="s">
        <v>167</v>
      </c>
      <c r="D87" s="100" t="s">
        <v>22</v>
      </c>
      <c r="E87" s="100" t="s">
        <v>58</v>
      </c>
      <c r="F87" s="70">
        <v>20000</v>
      </c>
      <c r="G87" s="70">
        <v>19176</v>
      </c>
      <c r="H87" s="70">
        <v>20000</v>
      </c>
      <c r="I87" s="70">
        <v>20000</v>
      </c>
      <c r="J87" s="70">
        <v>20000</v>
      </c>
      <c r="K87" s="70"/>
      <c r="L87" s="70"/>
      <c r="M87" s="70"/>
    </row>
    <row r="88" spans="1:13" ht="15.75" customHeight="1" outlineLevel="4">
      <c r="A88" s="54"/>
      <c r="B88" s="100" t="s">
        <v>30</v>
      </c>
      <c r="C88" s="99" t="s">
        <v>167</v>
      </c>
      <c r="D88" s="100" t="s">
        <v>22</v>
      </c>
      <c r="E88" s="100" t="s">
        <v>58</v>
      </c>
      <c r="F88" s="70">
        <v>100000</v>
      </c>
      <c r="G88" s="70"/>
      <c r="H88" s="70"/>
      <c r="I88" s="70"/>
      <c r="J88" s="70"/>
      <c r="K88" s="70"/>
      <c r="L88" s="70"/>
      <c r="M88" s="70"/>
    </row>
    <row r="89" spans="1:13" ht="15.75" customHeight="1" outlineLevel="4">
      <c r="A89" s="198" t="s">
        <v>244</v>
      </c>
      <c r="B89" s="169" t="s">
        <v>30</v>
      </c>
      <c r="C89" s="127" t="s">
        <v>245</v>
      </c>
      <c r="D89" s="169" t="s">
        <v>18</v>
      </c>
      <c r="E89" s="169"/>
      <c r="F89" s="171">
        <f>F90+F91</f>
        <v>52080</v>
      </c>
      <c r="G89" s="171">
        <f t="shared" ref="G89:M89" si="32">G90+G91</f>
        <v>20978.57</v>
      </c>
      <c r="H89" s="171">
        <f t="shared" si="32"/>
        <v>0</v>
      </c>
      <c r="I89" s="171">
        <f t="shared" si="32"/>
        <v>0</v>
      </c>
      <c r="J89" s="171">
        <f t="shared" si="32"/>
        <v>0</v>
      </c>
      <c r="K89" s="171">
        <f t="shared" si="32"/>
        <v>62496</v>
      </c>
      <c r="L89" s="171">
        <f t="shared" si="32"/>
        <v>62496</v>
      </c>
      <c r="M89" s="171">
        <f t="shared" si="32"/>
        <v>62496</v>
      </c>
    </row>
    <row r="90" spans="1:13" ht="15.75" customHeight="1" outlineLevel="4">
      <c r="A90" s="54"/>
      <c r="B90" s="100" t="s">
        <v>30</v>
      </c>
      <c r="C90" s="99" t="s">
        <v>245</v>
      </c>
      <c r="D90" s="100" t="s">
        <v>18</v>
      </c>
      <c r="E90" s="100" t="s">
        <v>46</v>
      </c>
      <c r="F90" s="70">
        <v>40000</v>
      </c>
      <c r="G90" s="70">
        <v>16112.58</v>
      </c>
      <c r="H90" s="70"/>
      <c r="I90" s="70"/>
      <c r="J90" s="70"/>
      <c r="K90" s="70">
        <v>48000</v>
      </c>
      <c r="L90" s="70">
        <v>48000</v>
      </c>
      <c r="M90" s="70">
        <v>48000</v>
      </c>
    </row>
    <row r="91" spans="1:13" ht="15.75" customHeight="1" outlineLevel="4">
      <c r="A91" s="54"/>
      <c r="B91" s="100" t="s">
        <v>30</v>
      </c>
      <c r="C91" s="99" t="s">
        <v>245</v>
      </c>
      <c r="D91" s="100" t="s">
        <v>59</v>
      </c>
      <c r="E91" s="100" t="s">
        <v>46</v>
      </c>
      <c r="F91" s="70">
        <v>12080</v>
      </c>
      <c r="G91" s="70">
        <v>4865.99</v>
      </c>
      <c r="H91" s="70"/>
      <c r="I91" s="70"/>
      <c r="J91" s="70"/>
      <c r="K91" s="70">
        <v>14496</v>
      </c>
      <c r="L91" s="70">
        <v>14496</v>
      </c>
      <c r="M91" s="70">
        <v>14496</v>
      </c>
    </row>
    <row r="92" spans="1:13" ht="15.75" customHeight="1" outlineLevel="4">
      <c r="A92" s="54"/>
      <c r="B92" s="100"/>
      <c r="C92" s="31"/>
      <c r="D92" s="100"/>
      <c r="E92" s="100"/>
      <c r="F92" s="70"/>
      <c r="G92" s="70"/>
      <c r="H92" s="70"/>
      <c r="I92" s="70"/>
      <c r="J92" s="70"/>
      <c r="K92" s="70"/>
      <c r="L92" s="70"/>
      <c r="M92" s="70"/>
    </row>
    <row r="93" spans="1:13" ht="28.5" customHeight="1" outlineLevel="4">
      <c r="A93" s="143" t="s">
        <v>160</v>
      </c>
      <c r="B93" s="244" t="s">
        <v>161</v>
      </c>
      <c r="C93" s="245"/>
      <c r="D93" s="245"/>
      <c r="E93" s="246"/>
      <c r="F93" s="144">
        <f t="shared" ref="F93:M93" si="33">F94</f>
        <v>1000</v>
      </c>
      <c r="G93" s="144">
        <f t="shared" si="33"/>
        <v>0</v>
      </c>
      <c r="H93" s="144">
        <f t="shared" si="33"/>
        <v>1000</v>
      </c>
      <c r="I93" s="144">
        <f t="shared" si="33"/>
        <v>1000</v>
      </c>
      <c r="J93" s="144">
        <f t="shared" si="33"/>
        <v>1000</v>
      </c>
      <c r="K93" s="144">
        <f t="shared" si="33"/>
        <v>1000</v>
      </c>
      <c r="L93" s="144">
        <f t="shared" si="33"/>
        <v>1000</v>
      </c>
      <c r="M93" s="144">
        <f t="shared" si="33"/>
        <v>1000</v>
      </c>
    </row>
    <row r="94" spans="1:13" ht="25.5" outlineLevel="7">
      <c r="A94" s="7" t="s">
        <v>72</v>
      </c>
      <c r="B94" s="126" t="s">
        <v>30</v>
      </c>
      <c r="C94" s="127" t="s">
        <v>124</v>
      </c>
      <c r="D94" s="126" t="s">
        <v>22</v>
      </c>
      <c r="E94" s="126" t="s">
        <v>58</v>
      </c>
      <c r="F94" s="62">
        <v>1000</v>
      </c>
      <c r="G94" s="62"/>
      <c r="H94" s="62">
        <v>1000</v>
      </c>
      <c r="I94" s="62">
        <v>1000</v>
      </c>
      <c r="J94" s="62">
        <v>1000</v>
      </c>
      <c r="K94" s="62">
        <v>1000</v>
      </c>
      <c r="L94" s="62">
        <v>1000</v>
      </c>
      <c r="M94" s="62">
        <v>1000</v>
      </c>
    </row>
    <row r="95" spans="1:13" ht="24" customHeight="1" outlineLevel="7">
      <c r="A95" s="145" t="s">
        <v>136</v>
      </c>
      <c r="B95" s="253" t="s">
        <v>162</v>
      </c>
      <c r="C95" s="253"/>
      <c r="D95" s="253"/>
      <c r="E95" s="253"/>
      <c r="F95" s="110">
        <f>F96+F99</f>
        <v>405000</v>
      </c>
      <c r="G95" s="110">
        <f t="shared" ref="G95:M95" si="34">G96+G99</f>
        <v>196762.4</v>
      </c>
      <c r="H95" s="110">
        <f t="shared" si="34"/>
        <v>1007000</v>
      </c>
      <c r="I95" s="110">
        <f t="shared" si="34"/>
        <v>907000</v>
      </c>
      <c r="J95" s="110">
        <f t="shared" si="34"/>
        <v>907000</v>
      </c>
      <c r="K95" s="110">
        <f>K96+K99</f>
        <v>270000</v>
      </c>
      <c r="L95" s="110">
        <f t="shared" si="34"/>
        <v>707000</v>
      </c>
      <c r="M95" s="110">
        <f t="shared" si="34"/>
        <v>907000</v>
      </c>
    </row>
    <row r="96" spans="1:13" outlineLevel="7">
      <c r="A96" s="106" t="s">
        <v>89</v>
      </c>
      <c r="B96" s="107" t="s">
        <v>31</v>
      </c>
      <c r="C96" s="108"/>
      <c r="D96" s="107"/>
      <c r="E96" s="107" t="s">
        <v>58</v>
      </c>
      <c r="F96" s="109">
        <f t="shared" ref="F96:M96" si="35">F97+F98</f>
        <v>0</v>
      </c>
      <c r="G96" s="109">
        <f t="shared" si="35"/>
        <v>0</v>
      </c>
      <c r="H96" s="109">
        <f t="shared" si="35"/>
        <v>500000</v>
      </c>
      <c r="I96" s="109">
        <f t="shared" si="35"/>
        <v>400000</v>
      </c>
      <c r="J96" s="109">
        <f t="shared" si="35"/>
        <v>400000</v>
      </c>
      <c r="K96" s="109">
        <f t="shared" si="35"/>
        <v>0</v>
      </c>
      <c r="L96" s="109">
        <f>L97+L98</f>
        <v>200000</v>
      </c>
      <c r="M96" s="109">
        <f t="shared" si="35"/>
        <v>400000</v>
      </c>
    </row>
    <row r="97" spans="1:13" outlineLevel="7">
      <c r="A97" s="106" t="s">
        <v>143</v>
      </c>
      <c r="B97" s="107"/>
      <c r="C97" s="108"/>
      <c r="D97" s="107"/>
      <c r="E97" s="107"/>
      <c r="F97" s="73"/>
      <c r="G97" s="73"/>
      <c r="H97" s="73"/>
      <c r="I97" s="73"/>
      <c r="J97" s="73"/>
      <c r="K97" s="73"/>
      <c r="L97" s="73">
        <f>400000-200000</f>
        <v>200000</v>
      </c>
      <c r="M97" s="73">
        <v>400000</v>
      </c>
    </row>
    <row r="98" spans="1:13" outlineLevel="7">
      <c r="A98" s="106" t="s">
        <v>261</v>
      </c>
      <c r="B98" s="107" t="s">
        <v>31</v>
      </c>
      <c r="C98" s="118" t="s">
        <v>248</v>
      </c>
      <c r="D98" s="107" t="s">
        <v>22</v>
      </c>
      <c r="E98" s="107" t="s">
        <v>58</v>
      </c>
      <c r="F98" s="73"/>
      <c r="G98" s="73"/>
      <c r="H98" s="73">
        <v>500000</v>
      </c>
      <c r="I98" s="73">
        <v>400000</v>
      </c>
      <c r="J98" s="73">
        <v>400000</v>
      </c>
      <c r="K98" s="73">
        <v>0</v>
      </c>
      <c r="L98" s="73"/>
      <c r="M98" s="73"/>
    </row>
    <row r="99" spans="1:13" ht="25.5" outlineLevel="7">
      <c r="A99" s="131" t="s">
        <v>45</v>
      </c>
      <c r="B99" s="132"/>
      <c r="C99" s="133"/>
      <c r="D99" s="132"/>
      <c r="E99" s="132"/>
      <c r="F99" s="62">
        <f>SUM(F100:F104)</f>
        <v>405000</v>
      </c>
      <c r="G99" s="62">
        <f t="shared" ref="G99:M99" si="36">SUM(G100:G104)</f>
        <v>196762.4</v>
      </c>
      <c r="H99" s="62">
        <f t="shared" si="36"/>
        <v>507000</v>
      </c>
      <c r="I99" s="62">
        <f t="shared" si="36"/>
        <v>507000</v>
      </c>
      <c r="J99" s="62">
        <f t="shared" si="36"/>
        <v>507000</v>
      </c>
      <c r="K99" s="62">
        <f>SUM(K100:K104)</f>
        <v>270000</v>
      </c>
      <c r="L99" s="62">
        <f t="shared" si="36"/>
        <v>507000</v>
      </c>
      <c r="M99" s="62">
        <f t="shared" si="36"/>
        <v>507000</v>
      </c>
    </row>
    <row r="100" spans="1:13" ht="51" outlineLevel="7">
      <c r="A100" s="129" t="s">
        <v>137</v>
      </c>
      <c r="B100" s="130" t="s">
        <v>31</v>
      </c>
      <c r="C100" s="31" t="s">
        <v>60</v>
      </c>
      <c r="D100" s="130" t="s">
        <v>22</v>
      </c>
      <c r="E100" s="130" t="s">
        <v>46</v>
      </c>
      <c r="F100" s="66">
        <v>55400</v>
      </c>
      <c r="G100" s="66">
        <v>54700</v>
      </c>
      <c r="H100" s="66"/>
      <c r="I100" s="66"/>
      <c r="J100" s="66"/>
      <c r="K100" s="66"/>
      <c r="L100" s="66"/>
      <c r="M100" s="66"/>
    </row>
    <row r="101" spans="1:13" ht="51" outlineLevel="7">
      <c r="A101" s="129" t="s">
        <v>138</v>
      </c>
      <c r="B101" s="130" t="s">
        <v>31</v>
      </c>
      <c r="C101" s="31" t="s">
        <v>61</v>
      </c>
      <c r="D101" s="130" t="s">
        <v>22</v>
      </c>
      <c r="E101" s="130" t="s">
        <v>46</v>
      </c>
      <c r="F101" s="66">
        <v>79600</v>
      </c>
      <c r="G101" s="66">
        <v>79600</v>
      </c>
      <c r="H101" s="66"/>
      <c r="I101" s="66"/>
      <c r="J101" s="66"/>
      <c r="K101" s="66"/>
      <c r="L101" s="66"/>
      <c r="M101" s="66"/>
    </row>
    <row r="102" spans="1:13" ht="51" outlineLevel="7">
      <c r="A102" s="129" t="s">
        <v>139</v>
      </c>
      <c r="B102" s="130" t="s">
        <v>31</v>
      </c>
      <c r="C102" s="31" t="s">
        <v>62</v>
      </c>
      <c r="D102" s="130" t="s">
        <v>22</v>
      </c>
      <c r="E102" s="130" t="s">
        <v>46</v>
      </c>
      <c r="F102" s="66">
        <v>120000</v>
      </c>
      <c r="G102" s="66">
        <v>44462.400000000001</v>
      </c>
      <c r="H102" s="66">
        <v>364000</v>
      </c>
      <c r="I102" s="66">
        <v>364000</v>
      </c>
      <c r="J102" s="66">
        <v>364000</v>
      </c>
      <c r="K102" s="75">
        <v>120000</v>
      </c>
      <c r="L102" s="75">
        <v>364000</v>
      </c>
      <c r="M102" s="75">
        <v>364000</v>
      </c>
    </row>
    <row r="103" spans="1:13" ht="51" outlineLevel="7">
      <c r="A103" s="129" t="s">
        <v>140</v>
      </c>
      <c r="B103" s="130" t="s">
        <v>31</v>
      </c>
      <c r="C103" s="31" t="s">
        <v>63</v>
      </c>
      <c r="D103" s="130" t="s">
        <v>22</v>
      </c>
      <c r="E103" s="130" t="s">
        <v>46</v>
      </c>
      <c r="F103" s="66">
        <v>150000</v>
      </c>
      <c r="G103" s="66">
        <v>18000</v>
      </c>
      <c r="H103" s="66">
        <v>143000</v>
      </c>
      <c r="I103" s="66">
        <v>143000</v>
      </c>
      <c r="J103" s="66">
        <v>143000</v>
      </c>
      <c r="K103" s="75">
        <v>150000</v>
      </c>
      <c r="L103" s="75">
        <v>143000</v>
      </c>
      <c r="M103" s="75">
        <v>143000</v>
      </c>
    </row>
    <row r="104" spans="1:13" ht="51" outlineLevel="7">
      <c r="A104" s="129" t="s">
        <v>141</v>
      </c>
      <c r="B104" s="130" t="s">
        <v>31</v>
      </c>
      <c r="C104" s="31" t="s">
        <v>64</v>
      </c>
      <c r="D104" s="130" t="s">
        <v>22</v>
      </c>
      <c r="E104" s="130" t="s">
        <v>46</v>
      </c>
      <c r="F104" s="66"/>
      <c r="G104" s="66"/>
      <c r="H104" s="66"/>
      <c r="I104" s="66"/>
      <c r="J104" s="66"/>
      <c r="K104" s="66"/>
      <c r="L104" s="66"/>
      <c r="M104" s="66"/>
    </row>
    <row r="105" spans="1:13" ht="26.25" customHeight="1" outlineLevel="7">
      <c r="A105" s="146" t="s">
        <v>144</v>
      </c>
      <c r="B105" s="250" t="s">
        <v>164</v>
      </c>
      <c r="C105" s="251"/>
      <c r="D105" s="251"/>
      <c r="E105" s="252"/>
      <c r="F105" s="110">
        <f>F106+F122+F126+F130+F135+F143+F146+F156+F161+F177+F179+F200+F173</f>
        <v>3611781.26</v>
      </c>
      <c r="G105" s="110">
        <f t="shared" ref="G105:J105" si="37">G106+G122+G126+G130+G135+G143+G146+G156+G161+G177+G179+G200+G173</f>
        <v>903037.34</v>
      </c>
      <c r="H105" s="110">
        <f t="shared" si="37"/>
        <v>2319262.4500000002</v>
      </c>
      <c r="I105" s="110">
        <f t="shared" si="37"/>
        <v>3492176</v>
      </c>
      <c r="J105" s="110">
        <f t="shared" si="37"/>
        <v>1552624</v>
      </c>
      <c r="K105" s="110">
        <f>K106+K122+K126+K130+K135+K143+K146+K156+K161+K177+K179+K200+K173</f>
        <v>1217504</v>
      </c>
      <c r="L105" s="110">
        <f t="shared" ref="L105:M105" si="38">L106+L122+L126+L130+L135+L143+L146+L156+L161+L177+L179+L200+L173</f>
        <v>2661100</v>
      </c>
      <c r="M105" s="110">
        <f t="shared" si="38"/>
        <v>803627</v>
      </c>
    </row>
    <row r="106" spans="1:13" ht="25.5" outlineLevel="7">
      <c r="A106" s="139" t="s">
        <v>45</v>
      </c>
      <c r="B106" s="147"/>
      <c r="C106" s="148"/>
      <c r="D106" s="147"/>
      <c r="E106" s="147"/>
      <c r="F106" s="62">
        <f>F107+F113+F118</f>
        <v>70000</v>
      </c>
      <c r="G106" s="62">
        <f t="shared" ref="G106:M106" si="39">G107+G113+G118</f>
        <v>0</v>
      </c>
      <c r="H106" s="62">
        <f t="shared" si="39"/>
        <v>90000</v>
      </c>
      <c r="I106" s="62">
        <f t="shared" si="39"/>
        <v>90000</v>
      </c>
      <c r="J106" s="62">
        <f t="shared" si="39"/>
        <v>90000</v>
      </c>
      <c r="K106" s="62">
        <f t="shared" si="39"/>
        <v>90000</v>
      </c>
      <c r="L106" s="62">
        <f t="shared" si="39"/>
        <v>90000</v>
      </c>
      <c r="M106" s="62">
        <f t="shared" si="39"/>
        <v>90000</v>
      </c>
    </row>
    <row r="107" spans="1:13" ht="51" outlineLevel="7">
      <c r="A107" s="113" t="s">
        <v>128</v>
      </c>
      <c r="B107" s="34" t="s">
        <v>33</v>
      </c>
      <c r="C107" s="40" t="s">
        <v>129</v>
      </c>
      <c r="D107" s="34" t="s">
        <v>22</v>
      </c>
      <c r="E107" s="34" t="s">
        <v>46</v>
      </c>
      <c r="F107" s="81">
        <f>SUM(F108:F112)</f>
        <v>0</v>
      </c>
      <c r="G107" s="81">
        <f t="shared" ref="G107:M107" si="40">SUM(G108:G112)</f>
        <v>0</v>
      </c>
      <c r="H107" s="81">
        <f t="shared" si="40"/>
        <v>0</v>
      </c>
      <c r="I107" s="81">
        <f t="shared" si="40"/>
        <v>0</v>
      </c>
      <c r="J107" s="81">
        <f t="shared" si="40"/>
        <v>0</v>
      </c>
      <c r="K107" s="81">
        <f t="shared" si="40"/>
        <v>0</v>
      </c>
      <c r="L107" s="81">
        <f t="shared" si="40"/>
        <v>0</v>
      </c>
      <c r="M107" s="81">
        <f t="shared" si="40"/>
        <v>0</v>
      </c>
    </row>
    <row r="108" spans="1:13" outlineLevel="7">
      <c r="A108" s="10" t="s">
        <v>47</v>
      </c>
      <c r="B108" s="27"/>
      <c r="C108" s="46"/>
      <c r="D108" s="27"/>
      <c r="E108" s="27"/>
      <c r="F108" s="75"/>
      <c r="G108" s="75"/>
      <c r="H108" s="75"/>
      <c r="I108" s="75"/>
      <c r="J108" s="75"/>
      <c r="K108" s="75"/>
      <c r="L108" s="75"/>
      <c r="M108" s="75"/>
    </row>
    <row r="109" spans="1:13" outlineLevel="7">
      <c r="A109" s="10" t="s">
        <v>95</v>
      </c>
      <c r="B109" s="27"/>
      <c r="C109" s="46"/>
      <c r="D109" s="27"/>
      <c r="E109" s="27"/>
      <c r="F109" s="75"/>
      <c r="G109" s="75"/>
      <c r="H109" s="75"/>
      <c r="I109" s="75"/>
      <c r="J109" s="75"/>
      <c r="K109" s="75"/>
      <c r="L109" s="75"/>
      <c r="M109" s="75"/>
    </row>
    <row r="110" spans="1:13" outlineLevel="7">
      <c r="A110" s="10" t="s">
        <v>94</v>
      </c>
      <c r="B110" s="27"/>
      <c r="C110" s="46"/>
      <c r="D110" s="27"/>
      <c r="E110" s="27"/>
      <c r="F110" s="75"/>
      <c r="G110" s="75"/>
      <c r="H110" s="75"/>
      <c r="I110" s="75"/>
      <c r="J110" s="75"/>
      <c r="K110" s="75"/>
      <c r="L110" s="75"/>
      <c r="M110" s="75"/>
    </row>
    <row r="111" spans="1:13" outlineLevel="7">
      <c r="A111" s="10"/>
      <c r="B111" s="27"/>
      <c r="C111" s="57"/>
      <c r="D111" s="27"/>
      <c r="E111" s="27"/>
      <c r="F111" s="77"/>
      <c r="G111" s="77"/>
      <c r="H111" s="77"/>
      <c r="I111" s="77"/>
      <c r="J111" s="77"/>
      <c r="K111" s="77"/>
      <c r="L111" s="77"/>
      <c r="M111" s="77"/>
    </row>
    <row r="112" spans="1:13" outlineLevel="7">
      <c r="A112" s="111"/>
      <c r="B112" s="34"/>
      <c r="C112" s="112"/>
      <c r="D112" s="34"/>
      <c r="E112" s="34"/>
      <c r="F112" s="81"/>
      <c r="G112" s="81"/>
      <c r="H112" s="81"/>
      <c r="I112" s="81"/>
      <c r="J112" s="81"/>
      <c r="K112" s="81"/>
      <c r="L112" s="81"/>
      <c r="M112" s="81"/>
    </row>
    <row r="113" spans="1:13" ht="38.25" outlineLevel="7">
      <c r="A113" s="115" t="s">
        <v>142</v>
      </c>
      <c r="B113" s="34" t="s">
        <v>34</v>
      </c>
      <c r="C113" s="40" t="s">
        <v>127</v>
      </c>
      <c r="D113" s="34" t="s">
        <v>22</v>
      </c>
      <c r="E113" s="34" t="s">
        <v>46</v>
      </c>
      <c r="F113" s="81">
        <f>SUM(F114:F117)</f>
        <v>70000</v>
      </c>
      <c r="G113" s="81">
        <f t="shared" ref="G113:M113" si="41">SUM(G114:G117)</f>
        <v>0</v>
      </c>
      <c r="H113" s="81">
        <f t="shared" si="41"/>
        <v>70000</v>
      </c>
      <c r="I113" s="81">
        <f t="shared" si="41"/>
        <v>70000</v>
      </c>
      <c r="J113" s="81">
        <f t="shared" si="41"/>
        <v>70000</v>
      </c>
      <c r="K113" s="81">
        <f t="shared" si="41"/>
        <v>70000</v>
      </c>
      <c r="L113" s="81">
        <f t="shared" si="41"/>
        <v>70000</v>
      </c>
      <c r="M113" s="81">
        <f t="shared" si="41"/>
        <v>70000</v>
      </c>
    </row>
    <row r="114" spans="1:13" outlineLevel="7">
      <c r="A114" s="89" t="s">
        <v>280</v>
      </c>
      <c r="B114" s="90"/>
      <c r="C114" s="46"/>
      <c r="D114" s="91"/>
      <c r="E114" s="27"/>
      <c r="F114" s="75">
        <v>70000</v>
      </c>
      <c r="G114" s="75"/>
      <c r="H114" s="75">
        <v>70000</v>
      </c>
      <c r="I114" s="75">
        <v>70000</v>
      </c>
      <c r="J114" s="75">
        <v>70000</v>
      </c>
      <c r="K114" s="75">
        <v>70000</v>
      </c>
      <c r="L114" s="75">
        <v>70000</v>
      </c>
      <c r="M114" s="75">
        <v>70000</v>
      </c>
    </row>
    <row r="115" spans="1:13" outlineLevel="7">
      <c r="A115" s="89"/>
      <c r="B115" s="90"/>
      <c r="C115" s="46"/>
      <c r="D115" s="91"/>
      <c r="E115" s="27"/>
      <c r="F115" s="75"/>
      <c r="G115" s="75"/>
      <c r="H115" s="75"/>
      <c r="I115" s="75"/>
      <c r="J115" s="75"/>
      <c r="K115" s="75"/>
      <c r="L115" s="75"/>
      <c r="M115" s="75"/>
    </row>
    <row r="116" spans="1:13" outlineLevel="7">
      <c r="A116" s="89"/>
      <c r="B116" s="90"/>
      <c r="C116" s="46"/>
      <c r="D116" s="91"/>
      <c r="E116" s="27"/>
      <c r="F116" s="75"/>
      <c r="G116" s="75"/>
      <c r="H116" s="75"/>
      <c r="I116" s="75"/>
      <c r="J116" s="75"/>
      <c r="K116" s="75"/>
      <c r="L116" s="75"/>
      <c r="M116" s="75"/>
    </row>
    <row r="117" spans="1:13" outlineLevel="7">
      <c r="A117" s="116"/>
      <c r="B117" s="48"/>
      <c r="C117" s="114"/>
      <c r="D117" s="37"/>
      <c r="E117" s="32"/>
      <c r="F117" s="81"/>
      <c r="G117" s="81"/>
      <c r="H117" s="81"/>
      <c r="I117" s="81"/>
      <c r="J117" s="81"/>
      <c r="K117" s="81"/>
      <c r="L117" s="81"/>
      <c r="M117" s="81"/>
    </row>
    <row r="118" spans="1:13" ht="29.25" customHeight="1" outlineLevel="7">
      <c r="A118" s="117" t="s">
        <v>134</v>
      </c>
      <c r="B118" s="104" t="s">
        <v>36</v>
      </c>
      <c r="C118" s="40" t="s">
        <v>135</v>
      </c>
      <c r="D118" s="105" t="s">
        <v>22</v>
      </c>
      <c r="E118" s="34" t="s">
        <v>46</v>
      </c>
      <c r="F118" s="81">
        <f>SUM(F119:F121)</f>
        <v>0</v>
      </c>
      <c r="G118" s="81">
        <f t="shared" ref="G118:M118" si="42">SUM(G119:G121)</f>
        <v>0</v>
      </c>
      <c r="H118" s="81">
        <f t="shared" si="42"/>
        <v>20000</v>
      </c>
      <c r="I118" s="81">
        <f t="shared" si="42"/>
        <v>20000</v>
      </c>
      <c r="J118" s="81">
        <f t="shared" si="42"/>
        <v>20000</v>
      </c>
      <c r="K118" s="81">
        <f t="shared" si="42"/>
        <v>20000</v>
      </c>
      <c r="L118" s="81">
        <f t="shared" si="42"/>
        <v>20000</v>
      </c>
      <c r="M118" s="81">
        <f t="shared" si="42"/>
        <v>20000</v>
      </c>
    </row>
    <row r="119" spans="1:13" outlineLevel="7">
      <c r="A119" s="182" t="s">
        <v>202</v>
      </c>
      <c r="B119" s="91"/>
      <c r="C119" s="46"/>
      <c r="D119" s="27"/>
      <c r="E119" s="27"/>
      <c r="F119" s="66">
        <v>0</v>
      </c>
      <c r="G119" s="66"/>
      <c r="H119" s="66">
        <v>20000</v>
      </c>
      <c r="I119" s="66">
        <v>20000</v>
      </c>
      <c r="J119" s="66">
        <v>20000</v>
      </c>
      <c r="K119" s="66">
        <v>20000</v>
      </c>
      <c r="L119" s="66">
        <v>20000</v>
      </c>
      <c r="M119" s="66">
        <v>20000</v>
      </c>
    </row>
    <row r="120" spans="1:13" outlineLevel="3">
      <c r="A120" s="36"/>
      <c r="B120" s="37"/>
      <c r="C120" s="38"/>
      <c r="D120" s="32"/>
      <c r="E120" s="33"/>
      <c r="F120" s="71"/>
      <c r="G120" s="71"/>
      <c r="H120" s="71"/>
      <c r="I120" s="71"/>
      <c r="J120" s="71"/>
      <c r="K120" s="71"/>
      <c r="L120" s="71"/>
      <c r="M120" s="71"/>
    </row>
    <row r="121" spans="1:13" outlineLevel="4">
      <c r="A121" s="39"/>
      <c r="B121" s="32"/>
      <c r="C121" s="22"/>
      <c r="D121" s="32"/>
      <c r="E121" s="33"/>
      <c r="F121" s="71"/>
      <c r="G121" s="71"/>
      <c r="H121" s="71"/>
      <c r="I121" s="71"/>
      <c r="J121" s="71"/>
      <c r="K121" s="71"/>
      <c r="L121" s="71"/>
      <c r="M121" s="71"/>
    </row>
    <row r="122" spans="1:13" ht="25.5" outlineLevel="4">
      <c r="A122" s="7" t="s">
        <v>70</v>
      </c>
      <c r="B122" s="147"/>
      <c r="C122" s="18" t="s">
        <v>145</v>
      </c>
      <c r="D122" s="17" t="s">
        <v>22</v>
      </c>
      <c r="E122" s="17" t="s">
        <v>58</v>
      </c>
      <c r="F122" s="62">
        <f t="shared" ref="F122:M122" si="43">SUM(F123:F125)</f>
        <v>20000</v>
      </c>
      <c r="G122" s="62">
        <f t="shared" si="43"/>
        <v>20000</v>
      </c>
      <c r="H122" s="62">
        <f t="shared" si="43"/>
        <v>40000</v>
      </c>
      <c r="I122" s="62">
        <f t="shared" si="43"/>
        <v>0</v>
      </c>
      <c r="J122" s="62">
        <f t="shared" si="43"/>
        <v>0</v>
      </c>
      <c r="K122" s="62">
        <f t="shared" si="43"/>
        <v>40000</v>
      </c>
      <c r="L122" s="62">
        <f t="shared" si="43"/>
        <v>0</v>
      </c>
      <c r="M122" s="62">
        <f t="shared" si="43"/>
        <v>0</v>
      </c>
    </row>
    <row r="123" spans="1:13" outlineLevel="4">
      <c r="A123" s="5" t="s">
        <v>268</v>
      </c>
      <c r="B123" s="35" t="s">
        <v>36</v>
      </c>
      <c r="C123" s="20" t="s">
        <v>145</v>
      </c>
      <c r="D123" s="35" t="s">
        <v>22</v>
      </c>
      <c r="E123" s="35" t="s">
        <v>58</v>
      </c>
      <c r="F123" s="73">
        <v>20000</v>
      </c>
      <c r="G123" s="73">
        <v>20000</v>
      </c>
      <c r="H123" s="73"/>
      <c r="I123" s="73"/>
      <c r="J123" s="73"/>
      <c r="K123" s="73"/>
      <c r="L123" s="73"/>
      <c r="M123" s="73"/>
    </row>
    <row r="124" spans="1:13" outlineLevel="4">
      <c r="A124" s="4"/>
      <c r="B124" s="19" t="s">
        <v>33</v>
      </c>
      <c r="C124" s="20" t="s">
        <v>145</v>
      </c>
      <c r="D124" s="35" t="s">
        <v>22</v>
      </c>
      <c r="E124" s="35" t="s">
        <v>58</v>
      </c>
      <c r="F124" s="65"/>
      <c r="G124" s="65"/>
      <c r="H124" s="65"/>
      <c r="I124" s="65"/>
      <c r="J124" s="65"/>
      <c r="K124" s="65"/>
      <c r="L124" s="65"/>
      <c r="M124" s="65"/>
    </row>
    <row r="125" spans="1:13" ht="25.5" outlineLevel="7">
      <c r="A125" s="8" t="s">
        <v>189</v>
      </c>
      <c r="B125" s="19" t="s">
        <v>34</v>
      </c>
      <c r="C125" s="20" t="s">
        <v>145</v>
      </c>
      <c r="D125" s="35" t="s">
        <v>22</v>
      </c>
      <c r="E125" s="35" t="s">
        <v>58</v>
      </c>
      <c r="F125" s="64">
        <v>0</v>
      </c>
      <c r="G125" s="65"/>
      <c r="H125" s="64">
        <v>40000</v>
      </c>
      <c r="I125" s="64"/>
      <c r="J125" s="64"/>
      <c r="K125" s="64">
        <v>40000</v>
      </c>
      <c r="L125" s="64"/>
      <c r="M125" s="64"/>
    </row>
    <row r="126" spans="1:13" ht="25.5" outlineLevel="7">
      <c r="A126" s="7" t="s">
        <v>148</v>
      </c>
      <c r="B126" s="119" t="s">
        <v>33</v>
      </c>
      <c r="C126" s="123" t="s">
        <v>149</v>
      </c>
      <c r="D126" s="121" t="s">
        <v>22</v>
      </c>
      <c r="E126" s="17" t="s">
        <v>58</v>
      </c>
      <c r="F126" s="62">
        <f t="shared" ref="F126:M126" si="44">SUM(F127:F129)</f>
        <v>0</v>
      </c>
      <c r="G126" s="62">
        <f t="shared" si="44"/>
        <v>0</v>
      </c>
      <c r="H126" s="62">
        <f t="shared" si="44"/>
        <v>0</v>
      </c>
      <c r="I126" s="62">
        <f t="shared" si="44"/>
        <v>0</v>
      </c>
      <c r="J126" s="62">
        <f t="shared" si="44"/>
        <v>0</v>
      </c>
      <c r="K126" s="62">
        <f t="shared" si="44"/>
        <v>0</v>
      </c>
      <c r="L126" s="62">
        <f t="shared" si="44"/>
        <v>0</v>
      </c>
      <c r="M126" s="62">
        <f t="shared" si="44"/>
        <v>0</v>
      </c>
    </row>
    <row r="127" spans="1:13" outlineLevel="7">
      <c r="A127" s="8"/>
      <c r="B127" s="120"/>
      <c r="C127" s="124"/>
      <c r="D127" s="101"/>
      <c r="E127" s="23"/>
      <c r="F127" s="67"/>
      <c r="G127" s="66"/>
      <c r="H127" s="67"/>
      <c r="I127" s="67"/>
      <c r="J127" s="67"/>
      <c r="K127" s="67"/>
      <c r="L127" s="67"/>
      <c r="M127" s="67"/>
    </row>
    <row r="128" spans="1:13" outlineLevel="7">
      <c r="A128" s="8"/>
      <c r="B128" s="120"/>
      <c r="C128" s="124"/>
      <c r="D128" s="101"/>
      <c r="E128" s="23"/>
      <c r="F128" s="67"/>
      <c r="G128" s="66"/>
      <c r="H128" s="67"/>
      <c r="I128" s="67"/>
      <c r="J128" s="67"/>
      <c r="K128" s="67"/>
      <c r="L128" s="67"/>
      <c r="M128" s="67"/>
    </row>
    <row r="129" spans="1:13" outlineLevel="7">
      <c r="A129" s="8"/>
      <c r="B129" s="120"/>
      <c r="C129" s="124"/>
      <c r="D129" s="101"/>
      <c r="E129" s="23"/>
      <c r="F129" s="67"/>
      <c r="G129" s="66"/>
      <c r="H129" s="67"/>
      <c r="I129" s="67"/>
      <c r="J129" s="67"/>
      <c r="K129" s="67"/>
      <c r="L129" s="67"/>
      <c r="M129" s="67"/>
    </row>
    <row r="130" spans="1:13" outlineLevel="7">
      <c r="A130" s="7" t="s">
        <v>35</v>
      </c>
      <c r="B130" s="119" t="s">
        <v>34</v>
      </c>
      <c r="C130" s="123" t="s">
        <v>150</v>
      </c>
      <c r="D130" s="121" t="s">
        <v>22</v>
      </c>
      <c r="E130" s="17" t="s">
        <v>58</v>
      </c>
      <c r="F130" s="62">
        <f t="shared" ref="F130:M130" si="45">SUM(F131:F134)</f>
        <v>0</v>
      </c>
      <c r="G130" s="62">
        <f t="shared" si="45"/>
        <v>0</v>
      </c>
      <c r="H130" s="62">
        <f t="shared" si="45"/>
        <v>0</v>
      </c>
      <c r="I130" s="62">
        <f t="shared" si="45"/>
        <v>0</v>
      </c>
      <c r="J130" s="62">
        <f t="shared" si="45"/>
        <v>0</v>
      </c>
      <c r="K130" s="62">
        <f t="shared" si="45"/>
        <v>0</v>
      </c>
      <c r="L130" s="62">
        <f t="shared" si="45"/>
        <v>0</v>
      </c>
      <c r="M130" s="62">
        <f t="shared" si="45"/>
        <v>0</v>
      </c>
    </row>
    <row r="131" spans="1:13" outlineLevel="7">
      <c r="A131" s="8"/>
      <c r="B131" s="120"/>
      <c r="C131" s="124"/>
      <c r="D131" s="101"/>
      <c r="E131" s="23"/>
      <c r="F131" s="67"/>
      <c r="G131" s="66"/>
      <c r="H131" s="67"/>
      <c r="I131" s="67"/>
      <c r="J131" s="67"/>
      <c r="K131" s="67"/>
      <c r="L131" s="67"/>
      <c r="M131" s="67"/>
    </row>
    <row r="132" spans="1:13" outlineLevel="7">
      <c r="A132" s="8"/>
      <c r="B132" s="120"/>
      <c r="C132" s="124"/>
      <c r="D132" s="101"/>
      <c r="E132" s="23"/>
      <c r="F132" s="67"/>
      <c r="G132" s="66"/>
      <c r="H132" s="67"/>
      <c r="I132" s="67"/>
      <c r="J132" s="67"/>
      <c r="K132" s="67"/>
      <c r="L132" s="67"/>
      <c r="M132" s="67"/>
    </row>
    <row r="133" spans="1:13" outlineLevel="7">
      <c r="A133" s="8"/>
      <c r="B133" s="120"/>
      <c r="C133" s="124"/>
      <c r="D133" s="101"/>
      <c r="E133" s="23"/>
      <c r="F133" s="67"/>
      <c r="G133" s="66"/>
      <c r="H133" s="67"/>
      <c r="I133" s="67"/>
      <c r="J133" s="67"/>
      <c r="K133" s="67"/>
      <c r="L133" s="67"/>
      <c r="M133" s="67"/>
    </row>
    <row r="134" spans="1:13" outlineLevel="7">
      <c r="A134" s="8"/>
      <c r="B134" s="120"/>
      <c r="C134" s="124"/>
      <c r="D134" s="101"/>
      <c r="E134" s="23"/>
      <c r="F134" s="67"/>
      <c r="G134" s="66"/>
      <c r="H134" s="67"/>
      <c r="I134" s="67"/>
      <c r="J134" s="67"/>
      <c r="K134" s="67"/>
      <c r="L134" s="67"/>
      <c r="M134" s="67"/>
    </row>
    <row r="135" spans="1:13" outlineLevel="7">
      <c r="A135" s="7" t="s">
        <v>68</v>
      </c>
      <c r="B135" s="17" t="s">
        <v>36</v>
      </c>
      <c r="C135" s="21" t="s">
        <v>147</v>
      </c>
      <c r="D135" s="17" t="s">
        <v>22</v>
      </c>
      <c r="E135" s="17" t="s">
        <v>58</v>
      </c>
      <c r="F135" s="62">
        <f t="shared" ref="F135:J135" si="46">SUM(F136:F141)</f>
        <v>18000</v>
      </c>
      <c r="G135" s="62">
        <f t="shared" si="46"/>
        <v>18000</v>
      </c>
      <c r="H135" s="62">
        <f t="shared" si="46"/>
        <v>50000</v>
      </c>
      <c r="I135" s="62">
        <f t="shared" si="46"/>
        <v>42000</v>
      </c>
      <c r="J135" s="62">
        <f t="shared" si="46"/>
        <v>42000</v>
      </c>
      <c r="K135" s="62">
        <f>SUM(K136:K141)</f>
        <v>33000</v>
      </c>
      <c r="L135" s="62">
        <f t="shared" ref="L135:M135" si="47">SUM(L136:L141)</f>
        <v>25000</v>
      </c>
      <c r="M135" s="62">
        <f t="shared" si="47"/>
        <v>25000</v>
      </c>
    </row>
    <row r="136" spans="1:13" outlineLevel="7">
      <c r="A136" s="84" t="s">
        <v>81</v>
      </c>
      <c r="B136" s="85"/>
      <c r="C136" s="86"/>
      <c r="D136" s="85"/>
      <c r="E136" s="85"/>
      <c r="F136" s="74">
        <v>18000</v>
      </c>
      <c r="G136" s="95">
        <v>18000</v>
      </c>
      <c r="H136" s="74">
        <v>35000</v>
      </c>
      <c r="I136" s="74">
        <v>35000</v>
      </c>
      <c r="J136" s="74">
        <v>35000</v>
      </c>
      <c r="K136" s="74">
        <v>20000</v>
      </c>
      <c r="L136" s="74">
        <v>20000</v>
      </c>
      <c r="M136" s="74">
        <v>20000</v>
      </c>
    </row>
    <row r="137" spans="1:13" outlineLevel="7">
      <c r="A137" s="84" t="s">
        <v>183</v>
      </c>
      <c r="B137" s="85"/>
      <c r="C137" s="86"/>
      <c r="D137" s="85"/>
      <c r="E137" s="85"/>
      <c r="F137" s="74"/>
      <c r="G137" s="95"/>
      <c r="H137" s="74"/>
      <c r="I137" s="74"/>
      <c r="J137" s="74"/>
      <c r="K137" s="74"/>
      <c r="L137" s="74"/>
      <c r="M137" s="74"/>
    </row>
    <row r="138" spans="1:13" outlineLevel="7">
      <c r="A138" s="84" t="s">
        <v>191</v>
      </c>
      <c r="B138" s="85"/>
      <c r="C138" s="86"/>
      <c r="D138" s="85"/>
      <c r="E138" s="85"/>
      <c r="F138" s="74"/>
      <c r="G138" s="95"/>
      <c r="H138" s="74">
        <v>5000</v>
      </c>
      <c r="I138" s="74">
        <v>5000</v>
      </c>
      <c r="J138" s="74">
        <v>5000</v>
      </c>
      <c r="K138" s="74">
        <v>3000</v>
      </c>
      <c r="L138" s="74">
        <v>3000</v>
      </c>
      <c r="M138" s="74">
        <v>3000</v>
      </c>
    </row>
    <row r="139" spans="1:13" outlineLevel="7">
      <c r="A139" s="45" t="s">
        <v>198</v>
      </c>
      <c r="B139" s="42"/>
      <c r="C139" s="43"/>
      <c r="D139" s="44"/>
      <c r="E139" s="41"/>
      <c r="F139" s="74"/>
      <c r="G139" s="95"/>
      <c r="H139" s="74">
        <v>2000</v>
      </c>
      <c r="I139" s="74">
        <v>2000</v>
      </c>
      <c r="J139" s="74">
        <v>2000</v>
      </c>
      <c r="K139" s="74">
        <v>2000</v>
      </c>
      <c r="L139" s="74">
        <v>2000</v>
      </c>
      <c r="M139" s="74">
        <v>2000</v>
      </c>
    </row>
    <row r="140" spans="1:13" outlineLevel="7">
      <c r="A140" s="45" t="s">
        <v>192</v>
      </c>
      <c r="B140" s="42"/>
      <c r="C140" s="43"/>
      <c r="D140" s="44"/>
      <c r="E140" s="41"/>
      <c r="F140" s="74"/>
      <c r="G140" s="95"/>
      <c r="H140" s="74">
        <v>8000</v>
      </c>
      <c r="I140" s="74"/>
      <c r="J140" s="74"/>
      <c r="K140" s="74">
        <v>8000</v>
      </c>
      <c r="L140" s="74"/>
      <c r="M140" s="74"/>
    </row>
    <row r="141" spans="1:13" outlineLevel="7">
      <c r="A141" s="8" t="s">
        <v>146</v>
      </c>
      <c r="B141" s="120"/>
      <c r="C141" s="124"/>
      <c r="D141" s="101"/>
      <c r="E141" s="23"/>
      <c r="F141" s="67"/>
      <c r="G141" s="66"/>
      <c r="H141" s="67"/>
      <c r="I141" s="67"/>
      <c r="J141" s="67"/>
      <c r="K141" s="67"/>
      <c r="L141" s="67"/>
      <c r="M141" s="67"/>
    </row>
    <row r="142" spans="1:13" outlineLevel="7">
      <c r="A142" s="8"/>
      <c r="B142" s="120"/>
      <c r="C142" s="124"/>
      <c r="D142" s="101"/>
      <c r="E142" s="23"/>
      <c r="F142" s="67"/>
      <c r="G142" s="66"/>
      <c r="H142" s="67"/>
      <c r="I142" s="67"/>
      <c r="J142" s="67"/>
      <c r="K142" s="67"/>
      <c r="L142" s="67"/>
      <c r="M142" s="67"/>
    </row>
    <row r="143" spans="1:13" ht="25.5" outlineLevel="7">
      <c r="A143" s="220" t="s">
        <v>269</v>
      </c>
      <c r="B143" s="119" t="s">
        <v>36</v>
      </c>
      <c r="C143" s="21" t="s">
        <v>270</v>
      </c>
      <c r="D143" s="17" t="s">
        <v>22</v>
      </c>
      <c r="E143" s="17"/>
      <c r="F143" s="72">
        <f>F144</f>
        <v>150000</v>
      </c>
      <c r="G143" s="72">
        <f t="shared" ref="G143:M143" si="48">G144</f>
        <v>150000</v>
      </c>
      <c r="H143" s="72">
        <f t="shared" si="48"/>
        <v>150000</v>
      </c>
      <c r="I143" s="72">
        <f t="shared" si="48"/>
        <v>150000</v>
      </c>
      <c r="J143" s="72">
        <f t="shared" si="48"/>
        <v>150000</v>
      </c>
      <c r="K143" s="72">
        <f t="shared" si="48"/>
        <v>150000</v>
      </c>
      <c r="L143" s="72">
        <f t="shared" si="48"/>
        <v>150000</v>
      </c>
      <c r="M143" s="72">
        <f t="shared" si="48"/>
        <v>200000</v>
      </c>
    </row>
    <row r="144" spans="1:13" outlineLevel="7">
      <c r="A144" s="198"/>
      <c r="B144" s="221" t="s">
        <v>36</v>
      </c>
      <c r="C144" s="31" t="s">
        <v>270</v>
      </c>
      <c r="D144" s="23" t="s">
        <v>22</v>
      </c>
      <c r="E144" s="23" t="s">
        <v>46</v>
      </c>
      <c r="F144" s="67">
        <v>150000</v>
      </c>
      <c r="G144" s="66">
        <v>150000</v>
      </c>
      <c r="H144" s="67">
        <v>150000</v>
      </c>
      <c r="I144" s="67">
        <v>150000</v>
      </c>
      <c r="J144" s="67">
        <v>150000</v>
      </c>
      <c r="K144" s="67">
        <v>150000</v>
      </c>
      <c r="L144" s="67">
        <v>150000</v>
      </c>
      <c r="M144" s="67">
        <v>200000</v>
      </c>
    </row>
    <row r="145" spans="1:13" outlineLevel="7">
      <c r="A145" s="198"/>
      <c r="B145" s="221"/>
      <c r="C145" s="31"/>
      <c r="D145" s="23"/>
      <c r="E145" s="23"/>
      <c r="F145" s="67"/>
      <c r="G145" s="66"/>
      <c r="H145" s="67"/>
      <c r="I145" s="67"/>
      <c r="J145" s="67"/>
      <c r="K145" s="67"/>
      <c r="L145" s="67"/>
      <c r="M145" s="67"/>
    </row>
    <row r="146" spans="1:13" outlineLevel="7">
      <c r="A146" s="7" t="s">
        <v>152</v>
      </c>
      <c r="B146" s="17" t="s">
        <v>36</v>
      </c>
      <c r="C146" s="40" t="s">
        <v>151</v>
      </c>
      <c r="D146" s="17"/>
      <c r="E146" s="17"/>
      <c r="F146" s="62">
        <f>F147+F155</f>
        <v>706701.27</v>
      </c>
      <c r="G146" s="62">
        <f t="shared" ref="G146:J146" si="49">G147+G155</f>
        <v>593863.74</v>
      </c>
      <c r="H146" s="62">
        <f t="shared" si="49"/>
        <v>1066081</v>
      </c>
      <c r="I146" s="62">
        <f t="shared" si="49"/>
        <v>468581</v>
      </c>
      <c r="J146" s="62">
        <f t="shared" si="49"/>
        <v>391581</v>
      </c>
      <c r="K146" s="62">
        <f>K147+K155</f>
        <v>660586</v>
      </c>
      <c r="L146" s="62">
        <f t="shared" ref="L146:M146" si="50">L147+L155</f>
        <v>475690</v>
      </c>
      <c r="M146" s="62">
        <f t="shared" si="50"/>
        <v>398690</v>
      </c>
    </row>
    <row r="147" spans="1:13" outlineLevel="7">
      <c r="A147" s="8"/>
      <c r="B147" s="35" t="s">
        <v>36</v>
      </c>
      <c r="C147" s="114" t="s">
        <v>151</v>
      </c>
      <c r="D147" s="35" t="s">
        <v>22</v>
      </c>
      <c r="E147" s="35" t="s">
        <v>58</v>
      </c>
      <c r="F147" s="196">
        <f>SUM(F148:F154)</f>
        <v>504520.27</v>
      </c>
      <c r="G147" s="196">
        <f t="shared" ref="G147:M147" si="51">SUM(G148:G154)</f>
        <v>503538.8</v>
      </c>
      <c r="H147" s="196">
        <f t="shared" si="51"/>
        <v>774500</v>
      </c>
      <c r="I147" s="196">
        <f t="shared" si="51"/>
        <v>177000</v>
      </c>
      <c r="J147" s="196">
        <f t="shared" si="51"/>
        <v>100000</v>
      </c>
      <c r="K147" s="196">
        <f>SUM(K148:K154)</f>
        <v>369005</v>
      </c>
      <c r="L147" s="196">
        <f t="shared" si="51"/>
        <v>184109</v>
      </c>
      <c r="M147" s="196">
        <f t="shared" si="51"/>
        <v>107109</v>
      </c>
    </row>
    <row r="148" spans="1:13" ht="25.5" outlineLevel="7">
      <c r="A148" s="8" t="s">
        <v>272</v>
      </c>
      <c r="B148" s="23"/>
      <c r="C148" s="24"/>
      <c r="D148" s="23"/>
      <c r="E148" s="23"/>
      <c r="F148" s="67">
        <f>14000-8049.2</f>
        <v>5950.8</v>
      </c>
      <c r="G148" s="66">
        <v>5950.8</v>
      </c>
      <c r="H148" s="67">
        <v>14000</v>
      </c>
      <c r="I148" s="67">
        <v>7000</v>
      </c>
      <c r="J148" s="67"/>
      <c r="K148" s="67">
        <v>14000</v>
      </c>
      <c r="L148" s="67">
        <v>7000</v>
      </c>
      <c r="M148" s="67"/>
    </row>
    <row r="149" spans="1:13" outlineLevel="7">
      <c r="A149" s="8" t="s">
        <v>271</v>
      </c>
      <c r="B149" s="23"/>
      <c r="C149" s="24"/>
      <c r="D149" s="23"/>
      <c r="E149" s="23"/>
      <c r="F149" s="66">
        <v>386624</v>
      </c>
      <c r="G149" s="66">
        <v>386624</v>
      </c>
      <c r="H149" s="67"/>
      <c r="I149" s="67"/>
      <c r="J149" s="67"/>
      <c r="K149" s="67"/>
      <c r="L149" s="67"/>
      <c r="M149" s="67"/>
    </row>
    <row r="150" spans="1:13" outlineLevel="7">
      <c r="A150" s="8" t="s">
        <v>273</v>
      </c>
      <c r="B150" s="23"/>
      <c r="C150" s="24"/>
      <c r="D150" s="23"/>
      <c r="E150" s="23"/>
      <c r="F150" s="66">
        <v>110964</v>
      </c>
      <c r="G150" s="66">
        <v>110964</v>
      </c>
      <c r="H150" s="67"/>
      <c r="I150" s="67"/>
      <c r="J150" s="67"/>
      <c r="K150" s="67"/>
      <c r="L150" s="67"/>
      <c r="M150" s="67"/>
    </row>
    <row r="151" spans="1:13" outlineLevel="7">
      <c r="A151" s="8" t="s">
        <v>252</v>
      </c>
      <c r="B151" s="23"/>
      <c r="C151" s="24"/>
      <c r="D151" s="23"/>
      <c r="E151" s="23"/>
      <c r="F151" s="67"/>
      <c r="G151" s="66"/>
      <c r="H151" s="67">
        <v>350000</v>
      </c>
      <c r="I151" s="67">
        <v>100000</v>
      </c>
      <c r="J151" s="67"/>
      <c r="K151" s="67">
        <f>150000+125000</f>
        <v>275000</v>
      </c>
      <c r="L151" s="67">
        <f>100000+20000+7109</f>
        <v>127109</v>
      </c>
      <c r="M151" s="67"/>
    </row>
    <row r="152" spans="1:13" outlineLevel="7">
      <c r="A152" s="8" t="s">
        <v>193</v>
      </c>
      <c r="B152" s="23"/>
      <c r="C152" s="24"/>
      <c r="D152" s="23"/>
      <c r="E152" s="23"/>
      <c r="F152" s="67">
        <f>40000-39018.53</f>
        <v>981.47000000000116</v>
      </c>
      <c r="G152" s="66"/>
      <c r="H152" s="67">
        <v>40000</v>
      </c>
      <c r="I152" s="67">
        <v>50000</v>
      </c>
      <c r="J152" s="67">
        <v>100000</v>
      </c>
      <c r="K152" s="67">
        <v>40000</v>
      </c>
      <c r="L152" s="67">
        <v>50000</v>
      </c>
      <c r="M152" s="67">
        <f>100000+7109</f>
        <v>107109</v>
      </c>
    </row>
    <row r="153" spans="1:13" ht="25.5" outlineLevel="7">
      <c r="A153" s="8" t="s">
        <v>246</v>
      </c>
      <c r="B153" s="23"/>
      <c r="C153" s="122"/>
      <c r="D153" s="23"/>
      <c r="E153" s="23"/>
      <c r="F153" s="67">
        <f>101729.76-101729.76</f>
        <v>0</v>
      </c>
      <c r="G153" s="66"/>
      <c r="H153" s="67">
        <v>370500</v>
      </c>
      <c r="I153" s="67">
        <v>20000</v>
      </c>
      <c r="J153" s="67"/>
      <c r="K153" s="67">
        <f>170000-137103.89-0.11+7109</f>
        <v>40004.999999999985</v>
      </c>
      <c r="L153" s="67">
        <v>0</v>
      </c>
      <c r="M153" s="67"/>
    </row>
    <row r="154" spans="1:13" outlineLevel="7">
      <c r="A154" s="8" t="s">
        <v>37</v>
      </c>
      <c r="B154" s="23"/>
      <c r="C154" s="122"/>
      <c r="D154" s="23"/>
      <c r="E154" s="23"/>
      <c r="F154" s="67"/>
      <c r="G154" s="66"/>
      <c r="H154" s="67"/>
      <c r="I154" s="67"/>
      <c r="J154" s="67"/>
      <c r="K154" s="67"/>
      <c r="L154" s="67"/>
      <c r="M154" s="67"/>
    </row>
    <row r="155" spans="1:13" outlineLevel="7">
      <c r="A155" s="5" t="s">
        <v>257</v>
      </c>
      <c r="B155" s="35" t="s">
        <v>36</v>
      </c>
      <c r="C155" s="114" t="s">
        <v>151</v>
      </c>
      <c r="D155" s="35" t="s">
        <v>243</v>
      </c>
      <c r="E155" s="35" t="s">
        <v>58</v>
      </c>
      <c r="F155" s="196">
        <v>202181</v>
      </c>
      <c r="G155" s="73">
        <v>90324.94</v>
      </c>
      <c r="H155" s="196">
        <v>291581</v>
      </c>
      <c r="I155" s="196">
        <v>291581</v>
      </c>
      <c r="J155" s="196">
        <v>291581</v>
      </c>
      <c r="K155" s="196">
        <v>291581</v>
      </c>
      <c r="L155" s="196">
        <v>291581</v>
      </c>
      <c r="M155" s="196">
        <v>291581</v>
      </c>
    </row>
    <row r="156" spans="1:13" outlineLevel="7">
      <c r="A156" s="7" t="s">
        <v>153</v>
      </c>
      <c r="B156" s="17" t="s">
        <v>36</v>
      </c>
      <c r="C156" s="40" t="s">
        <v>158</v>
      </c>
      <c r="D156" s="17" t="s">
        <v>22</v>
      </c>
      <c r="E156" s="17" t="s">
        <v>58</v>
      </c>
      <c r="F156" s="72">
        <f t="shared" ref="F156" si="52">SUM(F157:F160)</f>
        <v>3000</v>
      </c>
      <c r="G156" s="72">
        <f t="shared" ref="G156:M156" si="53">SUM(G157:G160)</f>
        <v>3000</v>
      </c>
      <c r="H156" s="72">
        <f t="shared" si="53"/>
        <v>4000</v>
      </c>
      <c r="I156" s="72">
        <f t="shared" si="53"/>
        <v>4000</v>
      </c>
      <c r="J156" s="72">
        <f t="shared" si="53"/>
        <v>4000</v>
      </c>
      <c r="K156" s="72">
        <f t="shared" si="53"/>
        <v>4000</v>
      </c>
      <c r="L156" s="72">
        <f t="shared" si="53"/>
        <v>4000</v>
      </c>
      <c r="M156" s="72">
        <f t="shared" si="53"/>
        <v>4000</v>
      </c>
    </row>
    <row r="157" spans="1:13" outlineLevel="7">
      <c r="A157" s="8" t="s">
        <v>154</v>
      </c>
      <c r="B157" s="120"/>
      <c r="C157" s="124"/>
      <c r="D157" s="101"/>
      <c r="E157" s="23"/>
      <c r="F157" s="67"/>
      <c r="G157" s="66"/>
      <c r="H157" s="67"/>
      <c r="I157" s="67"/>
      <c r="J157" s="67"/>
      <c r="K157" s="67"/>
      <c r="L157" s="67"/>
      <c r="M157" s="67"/>
    </row>
    <row r="158" spans="1:13" outlineLevel="7">
      <c r="A158" s="8" t="s">
        <v>155</v>
      </c>
      <c r="B158" s="120"/>
      <c r="C158" s="124"/>
      <c r="D158" s="101"/>
      <c r="E158" s="23"/>
      <c r="F158" s="67"/>
      <c r="G158" s="66"/>
      <c r="H158" s="67"/>
      <c r="I158" s="67"/>
      <c r="J158" s="67"/>
      <c r="K158" s="67"/>
      <c r="L158" s="67"/>
      <c r="M158" s="67"/>
    </row>
    <row r="159" spans="1:13" outlineLevel="7">
      <c r="A159" s="8"/>
      <c r="B159" s="120"/>
      <c r="C159" s="124"/>
      <c r="D159" s="101"/>
      <c r="E159" s="23"/>
      <c r="F159" s="67"/>
      <c r="G159" s="66"/>
      <c r="H159" s="67"/>
      <c r="I159" s="67"/>
      <c r="J159" s="67"/>
      <c r="K159" s="67"/>
      <c r="L159" s="67"/>
      <c r="M159" s="67"/>
    </row>
    <row r="160" spans="1:13" outlineLevel="7">
      <c r="A160" s="8" t="s">
        <v>156</v>
      </c>
      <c r="B160" s="120"/>
      <c r="C160" s="124"/>
      <c r="D160" s="101"/>
      <c r="E160" s="23"/>
      <c r="F160" s="67">
        <v>3000</v>
      </c>
      <c r="G160" s="66">
        <v>3000</v>
      </c>
      <c r="H160" s="67">
        <v>4000</v>
      </c>
      <c r="I160" s="67">
        <v>4000</v>
      </c>
      <c r="J160" s="67">
        <v>4000</v>
      </c>
      <c r="K160" s="67">
        <v>4000</v>
      </c>
      <c r="L160" s="67">
        <v>4000</v>
      </c>
      <c r="M160" s="67">
        <v>4000</v>
      </c>
    </row>
    <row r="161" spans="1:13" outlineLevel="7">
      <c r="A161" s="7" t="s">
        <v>67</v>
      </c>
      <c r="B161" s="17" t="s">
        <v>36</v>
      </c>
      <c r="C161" s="40" t="s">
        <v>157</v>
      </c>
      <c r="D161" s="17" t="s">
        <v>22</v>
      </c>
      <c r="E161" s="17" t="s">
        <v>58</v>
      </c>
      <c r="F161" s="62">
        <f>SUM(F162:F172)</f>
        <v>325588.51999999996</v>
      </c>
      <c r="G161" s="62">
        <f>SUM(G162:G172)</f>
        <v>118173.6</v>
      </c>
      <c r="H161" s="62">
        <f t="shared" ref="H161:J161" si="54">SUM(H162:H172)</f>
        <v>539048.44999999995</v>
      </c>
      <c r="I161" s="62">
        <f t="shared" si="54"/>
        <v>552652</v>
      </c>
      <c r="J161" s="62">
        <f t="shared" si="54"/>
        <v>430652</v>
      </c>
      <c r="K161" s="62">
        <f>SUM(K162:K172)</f>
        <v>162140</v>
      </c>
      <c r="L161" s="62">
        <f t="shared" ref="L161:M161" si="55">SUM(L162:L172)</f>
        <v>173552</v>
      </c>
      <c r="M161" s="62">
        <f t="shared" si="55"/>
        <v>85937</v>
      </c>
    </row>
    <row r="162" spans="1:13" outlineLevel="7">
      <c r="A162" s="8" t="s">
        <v>194</v>
      </c>
      <c r="B162" s="120"/>
      <c r="C162" s="46"/>
      <c r="D162" s="101"/>
      <c r="E162" s="23"/>
      <c r="F162" s="184">
        <f>39394+60000</f>
        <v>99394</v>
      </c>
      <c r="G162" s="66"/>
      <c r="H162" s="184">
        <v>150000</v>
      </c>
      <c r="I162" s="184">
        <v>150000</v>
      </c>
      <c r="J162" s="184">
        <v>150000</v>
      </c>
      <c r="K162" s="184"/>
      <c r="L162" s="184"/>
      <c r="M162" s="184"/>
    </row>
    <row r="163" spans="1:13" outlineLevel="7">
      <c r="A163" s="8" t="s">
        <v>279</v>
      </c>
      <c r="B163" s="120"/>
      <c r="C163" s="46"/>
      <c r="D163" s="101"/>
      <c r="E163" s="23"/>
      <c r="F163" s="184">
        <f>15252+8204</f>
        <v>23456</v>
      </c>
      <c r="G163" s="66"/>
      <c r="H163" s="184"/>
      <c r="I163" s="184"/>
      <c r="J163" s="184"/>
      <c r="K163" s="184"/>
      <c r="L163" s="184"/>
      <c r="M163" s="184"/>
    </row>
    <row r="164" spans="1:13" outlineLevel="7">
      <c r="A164" s="8" t="s">
        <v>274</v>
      </c>
      <c r="B164" s="120"/>
      <c r="C164" s="46"/>
      <c r="D164" s="101"/>
      <c r="E164" s="23"/>
      <c r="F164" s="66">
        <f>16080+15000</f>
        <v>31080</v>
      </c>
      <c r="G164" s="66">
        <f>16080+15000</f>
        <v>31080</v>
      </c>
      <c r="H164" s="184"/>
      <c r="I164" s="184"/>
      <c r="J164" s="184"/>
      <c r="K164" s="184"/>
      <c r="L164" s="184"/>
      <c r="M164" s="184"/>
    </row>
    <row r="165" spans="1:13" ht="25.5" outlineLevel="7">
      <c r="A165" s="8" t="s">
        <v>278</v>
      </c>
      <c r="B165" s="120"/>
      <c r="C165" s="46"/>
      <c r="D165" s="101"/>
      <c r="E165" s="23"/>
      <c r="F165" s="66">
        <v>73722</v>
      </c>
      <c r="G165" s="66"/>
      <c r="H165" s="184"/>
      <c r="I165" s="184"/>
      <c r="J165" s="184"/>
      <c r="K165" s="184"/>
      <c r="L165" s="184"/>
      <c r="M165" s="184"/>
    </row>
    <row r="166" spans="1:13" outlineLevel="7">
      <c r="A166" s="9" t="s">
        <v>253</v>
      </c>
      <c r="B166" s="25"/>
      <c r="C166" s="230"/>
      <c r="D166" s="25"/>
      <c r="E166" s="25"/>
      <c r="F166" s="67"/>
      <c r="G166" s="66"/>
      <c r="H166" s="67">
        <v>49140</v>
      </c>
      <c r="I166" s="67">
        <v>49140</v>
      </c>
      <c r="J166" s="67">
        <v>49140</v>
      </c>
      <c r="K166" s="67">
        <v>49140</v>
      </c>
      <c r="L166" s="67">
        <v>49140</v>
      </c>
      <c r="M166" s="67">
        <f>49140+18177</f>
        <v>67317</v>
      </c>
    </row>
    <row r="167" spans="1:13" ht="25.5" outlineLevel="7">
      <c r="A167" s="9" t="s">
        <v>275</v>
      </c>
      <c r="B167" s="23"/>
      <c r="C167" s="24"/>
      <c r="D167" s="23"/>
      <c r="E167" s="23"/>
      <c r="F167" s="66">
        <v>21237.599999999999</v>
      </c>
      <c r="G167" s="66">
        <v>21237.599999999999</v>
      </c>
      <c r="H167" s="67">
        <v>86396.45</v>
      </c>
      <c r="I167" s="67">
        <v>100000</v>
      </c>
      <c r="J167" s="67"/>
      <c r="K167" s="67">
        <v>36000</v>
      </c>
      <c r="L167" s="67">
        <v>50000</v>
      </c>
      <c r="M167" s="67"/>
    </row>
    <row r="168" spans="1:13" ht="16.5" customHeight="1" outlineLevel="7">
      <c r="A168" s="8" t="s">
        <v>254</v>
      </c>
      <c r="B168" s="23"/>
      <c r="C168" s="24"/>
      <c r="D168" s="23"/>
      <c r="E168" s="23"/>
      <c r="F168" s="66">
        <v>57786</v>
      </c>
      <c r="G168" s="66">
        <v>57786</v>
      </c>
      <c r="H168" s="67">
        <v>91512</v>
      </c>
      <c r="I168" s="67">
        <v>91512</v>
      </c>
      <c r="J168" s="67">
        <v>91512</v>
      </c>
      <c r="K168" s="67">
        <v>45000</v>
      </c>
      <c r="L168" s="67">
        <f>91512-83780</f>
        <v>7732</v>
      </c>
      <c r="M168" s="67">
        <f>91512-91512</f>
        <v>0</v>
      </c>
    </row>
    <row r="169" spans="1:13" outlineLevel="7">
      <c r="A169" s="8" t="s">
        <v>277</v>
      </c>
      <c r="B169" s="23"/>
      <c r="C169" s="24"/>
      <c r="D169" s="23"/>
      <c r="E169" s="23"/>
      <c r="F169" s="67">
        <f>5857.31+4985.61</f>
        <v>10842.92</v>
      </c>
      <c r="G169" s="66"/>
      <c r="H169" s="67">
        <v>70000</v>
      </c>
      <c r="I169" s="67">
        <v>70000</v>
      </c>
      <c r="J169" s="67">
        <v>70000</v>
      </c>
      <c r="K169" s="67">
        <v>30000</v>
      </c>
      <c r="L169" s="67">
        <v>64680</v>
      </c>
      <c r="M169" s="67">
        <f>70000-51380</f>
        <v>18620</v>
      </c>
    </row>
    <row r="170" spans="1:13" outlineLevel="7">
      <c r="A170" s="8" t="s">
        <v>255</v>
      </c>
      <c r="B170" s="23"/>
      <c r="C170" s="24"/>
      <c r="D170" s="23"/>
      <c r="E170" s="23"/>
      <c r="F170" s="67"/>
      <c r="G170" s="66"/>
      <c r="H170" s="67">
        <v>20000</v>
      </c>
      <c r="I170" s="67">
        <v>20000</v>
      </c>
      <c r="J170" s="67"/>
      <c r="K170" s="67"/>
      <c r="L170" s="67"/>
      <c r="M170" s="67"/>
    </row>
    <row r="171" spans="1:13" outlineLevel="7">
      <c r="A171" s="8" t="s">
        <v>256</v>
      </c>
      <c r="B171" s="23"/>
      <c r="C171" s="24"/>
      <c r="D171" s="23"/>
      <c r="E171" s="23"/>
      <c r="F171" s="67"/>
      <c r="G171" s="66"/>
      <c r="H171" s="67">
        <v>70000</v>
      </c>
      <c r="I171" s="67">
        <v>70000</v>
      </c>
      <c r="J171" s="67">
        <v>70000</v>
      </c>
      <c r="K171" s="67"/>
      <c r="L171" s="67"/>
      <c r="M171" s="67"/>
    </row>
    <row r="172" spans="1:13" outlineLevel="4">
      <c r="A172" s="8" t="s">
        <v>276</v>
      </c>
      <c r="B172" s="23"/>
      <c r="C172" s="24"/>
      <c r="D172" s="23"/>
      <c r="E172" s="23"/>
      <c r="F172" s="66">
        <f>8070</f>
        <v>8070</v>
      </c>
      <c r="G172" s="66">
        <f>8070</f>
        <v>8070</v>
      </c>
      <c r="H172" s="75">
        <v>2000</v>
      </c>
      <c r="I172" s="75">
        <v>2000</v>
      </c>
      <c r="J172" s="75"/>
      <c r="K172" s="75">
        <v>2000</v>
      </c>
      <c r="L172" s="75">
        <v>2000</v>
      </c>
      <c r="M172" s="75"/>
    </row>
    <row r="173" spans="1:13" ht="25.5" outlineLevel="4">
      <c r="A173" s="139" t="s">
        <v>217</v>
      </c>
      <c r="B173" s="190" t="s">
        <v>36</v>
      </c>
      <c r="C173" s="191" t="s">
        <v>218</v>
      </c>
      <c r="D173" s="192" t="s">
        <v>22</v>
      </c>
      <c r="E173" s="147"/>
      <c r="F173" s="72">
        <f t="shared" ref="F173" si="56">SUM(F174:F176)</f>
        <v>0</v>
      </c>
      <c r="G173" s="72">
        <f t="shared" ref="G173:M173" si="57">SUM(G174:G176)</f>
        <v>0</v>
      </c>
      <c r="H173" s="72">
        <f t="shared" si="57"/>
        <v>0</v>
      </c>
      <c r="I173" s="72">
        <f t="shared" si="57"/>
        <v>0</v>
      </c>
      <c r="J173" s="72">
        <f t="shared" si="57"/>
        <v>0</v>
      </c>
      <c r="K173" s="72">
        <f t="shared" si="57"/>
        <v>0</v>
      </c>
      <c r="L173" s="72">
        <f t="shared" si="57"/>
        <v>0</v>
      </c>
      <c r="M173" s="72">
        <f t="shared" si="57"/>
        <v>0</v>
      </c>
    </row>
    <row r="174" spans="1:13" outlineLevel="4">
      <c r="A174" s="9" t="s">
        <v>219</v>
      </c>
      <c r="B174" s="185" t="s">
        <v>36</v>
      </c>
      <c r="C174" s="187" t="s">
        <v>218</v>
      </c>
      <c r="D174" s="186" t="s">
        <v>22</v>
      </c>
      <c r="E174" s="25" t="s">
        <v>176</v>
      </c>
      <c r="F174" s="75">
        <v>0</v>
      </c>
      <c r="G174" s="66"/>
      <c r="H174" s="75"/>
      <c r="I174" s="75"/>
      <c r="J174" s="75"/>
      <c r="K174" s="75"/>
      <c r="L174" s="75"/>
      <c r="M174" s="75"/>
    </row>
    <row r="175" spans="1:13" outlineLevel="4">
      <c r="A175" s="9" t="s">
        <v>220</v>
      </c>
      <c r="B175" s="185" t="s">
        <v>36</v>
      </c>
      <c r="C175" s="187" t="s">
        <v>218</v>
      </c>
      <c r="D175" s="186" t="s">
        <v>22</v>
      </c>
      <c r="E175" s="25" t="s">
        <v>82</v>
      </c>
      <c r="F175" s="75">
        <v>0</v>
      </c>
      <c r="G175" s="66"/>
      <c r="H175" s="75"/>
      <c r="I175" s="75"/>
      <c r="J175" s="75"/>
      <c r="K175" s="75"/>
      <c r="L175" s="75"/>
      <c r="M175" s="75"/>
    </row>
    <row r="176" spans="1:13" outlineLevel="4">
      <c r="A176" s="8"/>
      <c r="B176" s="120"/>
      <c r="C176" s="124"/>
      <c r="D176" s="101"/>
      <c r="E176" s="23"/>
      <c r="F176" s="75"/>
      <c r="G176" s="66"/>
      <c r="H176" s="75"/>
      <c r="I176" s="75"/>
      <c r="J176" s="75"/>
      <c r="K176" s="75"/>
      <c r="L176" s="75"/>
      <c r="M176" s="75"/>
    </row>
    <row r="177" spans="1:13" outlineLevel="7">
      <c r="A177" s="7" t="s">
        <v>69</v>
      </c>
      <c r="B177" s="17" t="s">
        <v>36</v>
      </c>
      <c r="C177" s="40" t="s">
        <v>159</v>
      </c>
      <c r="D177" s="17" t="s">
        <v>22</v>
      </c>
      <c r="E177" s="17" t="s">
        <v>58</v>
      </c>
      <c r="F177" s="62">
        <f t="shared" ref="F177:M177" si="58">SUM(F178)</f>
        <v>0</v>
      </c>
      <c r="G177" s="62">
        <f t="shared" si="58"/>
        <v>0</v>
      </c>
      <c r="H177" s="62">
        <f t="shared" si="58"/>
        <v>0</v>
      </c>
      <c r="I177" s="62">
        <f t="shared" si="58"/>
        <v>0</v>
      </c>
      <c r="J177" s="62">
        <f t="shared" si="58"/>
        <v>0</v>
      </c>
      <c r="K177" s="62">
        <f t="shared" si="58"/>
        <v>0</v>
      </c>
      <c r="L177" s="62">
        <f t="shared" si="58"/>
        <v>0</v>
      </c>
      <c r="M177" s="62">
        <f t="shared" si="58"/>
        <v>0</v>
      </c>
    </row>
    <row r="178" spans="1:13" ht="25.5" outlineLevel="7">
      <c r="A178" s="8" t="s">
        <v>38</v>
      </c>
      <c r="B178" s="23"/>
      <c r="C178" s="46"/>
      <c r="D178" s="23"/>
      <c r="E178" s="23"/>
      <c r="F178" s="67"/>
      <c r="G178" s="66"/>
      <c r="H178" s="67"/>
      <c r="I178" s="67"/>
      <c r="J178" s="67"/>
      <c r="K178" s="67"/>
      <c r="L178" s="67"/>
      <c r="M178" s="67"/>
    </row>
    <row r="179" spans="1:13" ht="33.75" customHeight="1" outlineLevel="7">
      <c r="A179" s="128" t="s">
        <v>225</v>
      </c>
      <c r="B179" s="17"/>
      <c r="C179" s="40" t="s">
        <v>184</v>
      </c>
      <c r="D179" s="121"/>
      <c r="E179" s="17"/>
      <c r="F179" s="62">
        <f>F180+F185+F190+F195</f>
        <v>1535360</v>
      </c>
      <c r="G179" s="62">
        <f t="shared" ref="G179" si="59">G180+G185+G190+G195</f>
        <v>0</v>
      </c>
      <c r="H179" s="62">
        <f>H180+H185+H190+H195</f>
        <v>302355</v>
      </c>
      <c r="I179" s="62">
        <f t="shared" ref="I179:M179" si="60">I180+I185+I190+I195</f>
        <v>2107165</v>
      </c>
      <c r="J179" s="62">
        <f t="shared" si="60"/>
        <v>366613</v>
      </c>
      <c r="K179" s="62">
        <f t="shared" si="60"/>
        <v>0</v>
      </c>
      <c r="L179" s="62">
        <f t="shared" si="60"/>
        <v>1742858</v>
      </c>
      <c r="M179" s="62">
        <f t="shared" si="60"/>
        <v>0</v>
      </c>
    </row>
    <row r="180" spans="1:13" outlineLevel="7">
      <c r="A180" s="199" t="s">
        <v>221</v>
      </c>
      <c r="B180" s="185"/>
      <c r="C180" s="187"/>
      <c r="D180" s="186"/>
      <c r="E180" s="25"/>
      <c r="F180" s="67">
        <f t="shared" ref="F180" si="61">SUM(F181:F184)</f>
        <v>1535360</v>
      </c>
      <c r="G180" s="66"/>
      <c r="H180" s="67">
        <f t="shared" ref="H180:M180" si="62">SUM(H181:H184)</f>
        <v>0</v>
      </c>
      <c r="I180" s="67">
        <f t="shared" si="62"/>
        <v>0</v>
      </c>
      <c r="J180" s="67">
        <f t="shared" si="62"/>
        <v>0</v>
      </c>
      <c r="K180" s="67">
        <f t="shared" si="62"/>
        <v>0</v>
      </c>
      <c r="L180" s="67">
        <f t="shared" si="62"/>
        <v>0</v>
      </c>
      <c r="M180" s="67">
        <f t="shared" si="62"/>
        <v>0</v>
      </c>
    </row>
    <row r="181" spans="1:13" outlineLevel="7">
      <c r="A181" s="9" t="s">
        <v>171</v>
      </c>
      <c r="B181" s="142" t="s">
        <v>36</v>
      </c>
      <c r="C181" s="193" t="s">
        <v>247</v>
      </c>
      <c r="D181" s="140" t="s">
        <v>22</v>
      </c>
      <c r="E181" s="25" t="s">
        <v>176</v>
      </c>
      <c r="F181" s="67">
        <v>1169097</v>
      </c>
      <c r="G181" s="66"/>
      <c r="H181" s="67"/>
      <c r="I181" s="67"/>
      <c r="J181" s="67"/>
      <c r="K181" s="67"/>
      <c r="L181" s="67"/>
      <c r="M181" s="67"/>
    </row>
    <row r="182" spans="1:13" outlineLevel="7">
      <c r="A182" s="9" t="s">
        <v>185</v>
      </c>
      <c r="B182" s="142" t="s">
        <v>36</v>
      </c>
      <c r="C182" s="193" t="s">
        <v>247</v>
      </c>
      <c r="D182" s="140" t="s">
        <v>22</v>
      </c>
      <c r="E182" s="25" t="s">
        <v>82</v>
      </c>
      <c r="F182" s="67">
        <v>366263</v>
      </c>
      <c r="G182" s="66"/>
      <c r="H182" s="67"/>
      <c r="I182" s="67"/>
      <c r="J182" s="67"/>
      <c r="K182" s="67"/>
      <c r="L182" s="67"/>
      <c r="M182" s="67"/>
    </row>
    <row r="183" spans="1:13" outlineLevel="7">
      <c r="A183" s="9" t="s">
        <v>173</v>
      </c>
      <c r="B183" s="142" t="s">
        <v>36</v>
      </c>
      <c r="C183" s="193" t="s">
        <v>247</v>
      </c>
      <c r="D183" s="140" t="s">
        <v>22</v>
      </c>
      <c r="E183" s="25" t="s">
        <v>46</v>
      </c>
      <c r="F183" s="67"/>
      <c r="G183" s="66"/>
      <c r="H183" s="67"/>
      <c r="I183" s="67"/>
      <c r="J183" s="67"/>
      <c r="K183" s="67"/>
      <c r="L183" s="67"/>
      <c r="M183" s="67"/>
    </row>
    <row r="184" spans="1:13" outlineLevel="7">
      <c r="A184" s="194" t="s">
        <v>174</v>
      </c>
      <c r="B184" s="142" t="s">
        <v>36</v>
      </c>
      <c r="C184" s="193" t="s">
        <v>247</v>
      </c>
      <c r="D184" s="140" t="s">
        <v>22</v>
      </c>
      <c r="E184" s="25" t="s">
        <v>82</v>
      </c>
      <c r="F184" s="67"/>
      <c r="G184" s="66"/>
      <c r="H184" s="67"/>
      <c r="I184" s="67"/>
      <c r="J184" s="67"/>
      <c r="K184" s="67"/>
      <c r="L184" s="67"/>
      <c r="M184" s="67"/>
    </row>
    <row r="185" spans="1:13" ht="25.5" outlineLevel="7">
      <c r="A185" s="199" t="s">
        <v>251</v>
      </c>
      <c r="B185" s="185"/>
      <c r="C185" s="187"/>
      <c r="D185" s="186"/>
      <c r="E185" s="25"/>
      <c r="F185" s="67">
        <f t="shared" ref="F185" si="63">SUM(F186:F189)</f>
        <v>0</v>
      </c>
      <c r="G185" s="66"/>
      <c r="H185" s="67">
        <f t="shared" ref="H185:M185" si="64">SUM(H186:H189)</f>
        <v>302355</v>
      </c>
      <c r="I185" s="67">
        <f t="shared" si="64"/>
        <v>0</v>
      </c>
      <c r="J185" s="67">
        <f t="shared" si="64"/>
        <v>0</v>
      </c>
      <c r="K185" s="67">
        <f t="shared" si="64"/>
        <v>0</v>
      </c>
      <c r="L185" s="67">
        <f t="shared" si="64"/>
        <v>0</v>
      </c>
      <c r="M185" s="67">
        <f t="shared" si="64"/>
        <v>0</v>
      </c>
    </row>
    <row r="186" spans="1:13" outlineLevel="7">
      <c r="A186" s="9" t="s">
        <v>171</v>
      </c>
      <c r="B186" s="142" t="s">
        <v>31</v>
      </c>
      <c r="C186" s="193" t="s">
        <v>247</v>
      </c>
      <c r="D186" s="140" t="s">
        <v>22</v>
      </c>
      <c r="E186" s="25" t="s">
        <v>176</v>
      </c>
      <c r="F186" s="67"/>
      <c r="G186" s="66"/>
      <c r="H186" s="67"/>
      <c r="I186" s="67"/>
      <c r="J186" s="67"/>
      <c r="K186" s="67"/>
      <c r="L186" s="67"/>
      <c r="M186" s="67"/>
    </row>
    <row r="187" spans="1:13" outlineLevel="7">
      <c r="A187" s="9" t="s">
        <v>185</v>
      </c>
      <c r="B187" s="142" t="s">
        <v>31</v>
      </c>
      <c r="C187" s="193" t="s">
        <v>247</v>
      </c>
      <c r="D187" s="140" t="s">
        <v>22</v>
      </c>
      <c r="E187" s="25" t="s">
        <v>82</v>
      </c>
      <c r="F187" s="67"/>
      <c r="G187" s="66"/>
      <c r="H187" s="67">
        <v>277355</v>
      </c>
      <c r="I187" s="67"/>
      <c r="J187" s="67"/>
      <c r="K187" s="67"/>
      <c r="L187" s="67"/>
      <c r="M187" s="67"/>
    </row>
    <row r="188" spans="1:13" outlineLevel="7">
      <c r="A188" s="9" t="s">
        <v>173</v>
      </c>
      <c r="B188" s="142" t="s">
        <v>31</v>
      </c>
      <c r="C188" s="193" t="s">
        <v>247</v>
      </c>
      <c r="D188" s="140" t="s">
        <v>22</v>
      </c>
      <c r="E188" s="25" t="s">
        <v>46</v>
      </c>
      <c r="F188" s="67"/>
      <c r="G188" s="66"/>
      <c r="H188" s="67"/>
      <c r="I188" s="67"/>
      <c r="J188" s="67"/>
      <c r="K188" s="67"/>
      <c r="L188" s="67"/>
      <c r="M188" s="67"/>
    </row>
    <row r="189" spans="1:13" outlineLevel="7">
      <c r="A189" s="194" t="s">
        <v>174</v>
      </c>
      <c r="B189" s="142" t="s">
        <v>31</v>
      </c>
      <c r="C189" s="193" t="s">
        <v>247</v>
      </c>
      <c r="D189" s="140" t="s">
        <v>22</v>
      </c>
      <c r="E189" s="25" t="s">
        <v>82</v>
      </c>
      <c r="F189" s="67"/>
      <c r="G189" s="66"/>
      <c r="H189" s="203">
        <v>25000</v>
      </c>
      <c r="I189" s="67"/>
      <c r="J189" s="67"/>
      <c r="K189" s="67"/>
      <c r="L189" s="67"/>
      <c r="M189" s="67"/>
    </row>
    <row r="190" spans="1:13" outlineLevel="7">
      <c r="A190" s="199" t="s">
        <v>250</v>
      </c>
      <c r="B190" s="185"/>
      <c r="C190" s="187"/>
      <c r="D190" s="186"/>
      <c r="E190" s="25"/>
      <c r="F190" s="67">
        <f t="shared" ref="F190" si="65">SUM(F191:F194)</f>
        <v>0</v>
      </c>
      <c r="G190" s="66"/>
      <c r="H190" s="67">
        <f t="shared" ref="H190:M190" si="66">SUM(H191:H194)</f>
        <v>0</v>
      </c>
      <c r="I190" s="67">
        <f t="shared" si="66"/>
        <v>2107165</v>
      </c>
      <c r="J190" s="67">
        <f t="shared" si="66"/>
        <v>0</v>
      </c>
      <c r="K190" s="67">
        <f t="shared" si="66"/>
        <v>0</v>
      </c>
      <c r="L190" s="228">
        <f t="shared" si="66"/>
        <v>1742858</v>
      </c>
      <c r="M190" s="67">
        <f t="shared" si="66"/>
        <v>0</v>
      </c>
    </row>
    <row r="191" spans="1:13" outlineLevel="7">
      <c r="A191" s="9" t="s">
        <v>171</v>
      </c>
      <c r="B191" s="142" t="s">
        <v>36</v>
      </c>
      <c r="C191" s="193" t="s">
        <v>247</v>
      </c>
      <c r="D191" s="140" t="s">
        <v>22</v>
      </c>
      <c r="E191" s="25" t="s">
        <v>176</v>
      </c>
      <c r="F191" s="67"/>
      <c r="G191" s="66"/>
      <c r="H191" s="67"/>
      <c r="I191" s="67">
        <v>1220000</v>
      </c>
      <c r="J191" s="67"/>
      <c r="K191" s="67"/>
      <c r="L191" s="228">
        <v>1220000</v>
      </c>
      <c r="M191" s="67"/>
    </row>
    <row r="192" spans="1:13" outlineLevel="7">
      <c r="A192" s="9" t="s">
        <v>185</v>
      </c>
      <c r="B192" s="142" t="s">
        <v>36</v>
      </c>
      <c r="C192" s="193" t="s">
        <v>247</v>
      </c>
      <c r="D192" s="140" t="s">
        <v>22</v>
      </c>
      <c r="E192" s="25" t="s">
        <v>82</v>
      </c>
      <c r="F192" s="67"/>
      <c r="G192" s="66"/>
      <c r="H192" s="67"/>
      <c r="I192" s="67">
        <v>857165</v>
      </c>
      <c r="J192" s="67"/>
      <c r="K192" s="67"/>
      <c r="L192" s="228">
        <v>505429</v>
      </c>
      <c r="M192" s="67"/>
    </row>
    <row r="193" spans="1:13" outlineLevel="7">
      <c r="A193" s="9" t="s">
        <v>173</v>
      </c>
      <c r="B193" s="142" t="s">
        <v>36</v>
      </c>
      <c r="C193" s="193" t="s">
        <v>247</v>
      </c>
      <c r="D193" s="140" t="s">
        <v>22</v>
      </c>
      <c r="E193" s="25" t="s">
        <v>46</v>
      </c>
      <c r="F193" s="67"/>
      <c r="G193" s="66"/>
      <c r="H193" s="67"/>
      <c r="I193" s="67"/>
      <c r="J193" s="67"/>
      <c r="K193" s="67"/>
      <c r="L193" s="228"/>
      <c r="M193" s="67"/>
    </row>
    <row r="194" spans="1:13" outlineLevel="7">
      <c r="A194" s="194" t="s">
        <v>174</v>
      </c>
      <c r="B194" s="142" t="s">
        <v>36</v>
      </c>
      <c r="C194" s="193" t="s">
        <v>247</v>
      </c>
      <c r="D194" s="140" t="s">
        <v>22</v>
      </c>
      <c r="E194" s="25" t="s">
        <v>82</v>
      </c>
      <c r="F194" s="67"/>
      <c r="G194" s="66"/>
      <c r="H194" s="67"/>
      <c r="I194" s="67">
        <v>30000</v>
      </c>
      <c r="J194" s="67"/>
      <c r="K194" s="67"/>
      <c r="L194" s="228">
        <v>17429</v>
      </c>
      <c r="M194" s="67"/>
    </row>
    <row r="195" spans="1:13" outlineLevel="7">
      <c r="A195" s="199" t="s">
        <v>249</v>
      </c>
      <c r="B195" s="185"/>
      <c r="C195" s="187"/>
      <c r="D195" s="186"/>
      <c r="E195" s="25"/>
      <c r="F195" s="67">
        <f t="shared" ref="F195" si="67">SUM(F196:F199)</f>
        <v>0</v>
      </c>
      <c r="G195" s="66"/>
      <c r="H195" s="67">
        <f t="shared" ref="H195:M195" si="68">SUM(H196:H199)</f>
        <v>0</v>
      </c>
      <c r="I195" s="67">
        <f t="shared" si="68"/>
        <v>0</v>
      </c>
      <c r="J195" s="67">
        <f t="shared" si="68"/>
        <v>366613</v>
      </c>
      <c r="K195" s="67">
        <f t="shared" si="68"/>
        <v>0</v>
      </c>
      <c r="L195" s="67">
        <f t="shared" si="68"/>
        <v>0</v>
      </c>
      <c r="M195" s="67">
        <f t="shared" si="68"/>
        <v>0</v>
      </c>
    </row>
    <row r="196" spans="1:13" outlineLevel="7">
      <c r="A196" s="9" t="s">
        <v>171</v>
      </c>
      <c r="B196" s="142" t="s">
        <v>31</v>
      </c>
      <c r="C196" s="193" t="s">
        <v>247</v>
      </c>
      <c r="D196" s="140" t="s">
        <v>22</v>
      </c>
      <c r="E196" s="25" t="s">
        <v>176</v>
      </c>
      <c r="F196" s="67"/>
      <c r="G196" s="66"/>
      <c r="H196" s="67"/>
      <c r="I196" s="67"/>
      <c r="J196" s="203"/>
      <c r="K196" s="67"/>
      <c r="L196" s="67"/>
      <c r="M196" s="67"/>
    </row>
    <row r="197" spans="1:13" outlineLevel="7">
      <c r="A197" s="9" t="s">
        <v>185</v>
      </c>
      <c r="B197" s="142" t="s">
        <v>31</v>
      </c>
      <c r="C197" s="193" t="s">
        <v>247</v>
      </c>
      <c r="D197" s="140" t="s">
        <v>22</v>
      </c>
      <c r="E197" s="25" t="s">
        <v>82</v>
      </c>
      <c r="F197" s="67"/>
      <c r="G197" s="66"/>
      <c r="H197" s="67"/>
      <c r="I197" s="67"/>
      <c r="J197" s="67">
        <v>351613</v>
      </c>
      <c r="K197" s="67"/>
      <c r="L197" s="67"/>
      <c r="M197" s="67"/>
    </row>
    <row r="198" spans="1:13" outlineLevel="7">
      <c r="A198" s="9" t="s">
        <v>173</v>
      </c>
      <c r="B198" s="142" t="s">
        <v>31</v>
      </c>
      <c r="C198" s="193" t="s">
        <v>247</v>
      </c>
      <c r="D198" s="140" t="s">
        <v>22</v>
      </c>
      <c r="E198" s="25" t="s">
        <v>46</v>
      </c>
      <c r="F198" s="67"/>
      <c r="G198" s="66"/>
      <c r="H198" s="67"/>
      <c r="I198" s="67"/>
      <c r="J198" s="67"/>
      <c r="K198" s="67"/>
      <c r="L198" s="67"/>
      <c r="M198" s="67"/>
    </row>
    <row r="199" spans="1:13" outlineLevel="7">
      <c r="A199" s="194" t="s">
        <v>174</v>
      </c>
      <c r="B199" s="142" t="s">
        <v>31</v>
      </c>
      <c r="C199" s="193" t="s">
        <v>247</v>
      </c>
      <c r="D199" s="140" t="s">
        <v>22</v>
      </c>
      <c r="E199" s="25" t="s">
        <v>82</v>
      </c>
      <c r="F199" s="67"/>
      <c r="G199" s="66"/>
      <c r="H199" s="67"/>
      <c r="I199" s="67"/>
      <c r="J199" s="203">
        <v>15000</v>
      </c>
      <c r="K199" s="67"/>
      <c r="L199" s="67"/>
      <c r="M199" s="67"/>
    </row>
    <row r="200" spans="1:13" ht="31.5" outlineLevel="7">
      <c r="A200" s="128" t="s">
        <v>175</v>
      </c>
      <c r="B200" s="169" t="s">
        <v>36</v>
      </c>
      <c r="C200" s="40"/>
      <c r="D200" s="169" t="s">
        <v>22</v>
      </c>
      <c r="E200" s="170"/>
      <c r="F200" s="171">
        <f>F201+F206+F211</f>
        <v>783131.47</v>
      </c>
      <c r="G200" s="171">
        <f t="shared" ref="G200" si="69">G201+G206+G211</f>
        <v>0</v>
      </c>
      <c r="H200" s="171">
        <f>H201+H206+H211</f>
        <v>77778</v>
      </c>
      <c r="I200" s="171">
        <f t="shared" ref="I200:M200" si="70">I201+I206+I211</f>
        <v>77778</v>
      </c>
      <c r="J200" s="171">
        <f t="shared" si="70"/>
        <v>77778</v>
      </c>
      <c r="K200" s="171">
        <f t="shared" si="70"/>
        <v>77778</v>
      </c>
      <c r="L200" s="171">
        <f t="shared" si="70"/>
        <v>0</v>
      </c>
      <c r="M200" s="171">
        <f t="shared" si="70"/>
        <v>0</v>
      </c>
    </row>
    <row r="201" spans="1:13" ht="18.75" customHeight="1" outlineLevel="7">
      <c r="A201" s="206" t="s">
        <v>258</v>
      </c>
      <c r="B201" s="164"/>
      <c r="C201" s="165"/>
      <c r="D201" s="166"/>
      <c r="E201" s="167"/>
      <c r="F201" s="168">
        <f t="shared" ref="F201" si="71">SUM(F202:F205)</f>
        <v>783131.47</v>
      </c>
      <c r="G201" s="168">
        <f t="shared" ref="G201:M201" si="72">SUM(G202:G205)</f>
        <v>0</v>
      </c>
      <c r="H201" s="168">
        <f t="shared" si="72"/>
        <v>77778</v>
      </c>
      <c r="I201" s="168">
        <f t="shared" si="72"/>
        <v>0</v>
      </c>
      <c r="J201" s="168">
        <f t="shared" si="72"/>
        <v>0</v>
      </c>
      <c r="K201" s="168">
        <f t="shared" si="72"/>
        <v>77778</v>
      </c>
      <c r="L201" s="168">
        <f t="shared" si="72"/>
        <v>0</v>
      </c>
      <c r="M201" s="168">
        <f t="shared" si="72"/>
        <v>0</v>
      </c>
    </row>
    <row r="202" spans="1:13" outlineLevel="7">
      <c r="A202" s="8" t="s">
        <v>171</v>
      </c>
      <c r="B202" s="35" t="s">
        <v>36</v>
      </c>
      <c r="C202" s="88" t="s">
        <v>222</v>
      </c>
      <c r="D202" s="125" t="s">
        <v>22</v>
      </c>
      <c r="E202" s="23" t="s">
        <v>176</v>
      </c>
      <c r="F202" s="67">
        <v>700000</v>
      </c>
      <c r="G202" s="66"/>
      <c r="H202" s="67"/>
      <c r="I202" s="67"/>
      <c r="J202" s="67"/>
      <c r="K202" s="67"/>
      <c r="L202" s="67"/>
      <c r="M202" s="67"/>
    </row>
    <row r="203" spans="1:13" outlineLevel="7">
      <c r="A203" s="8" t="s">
        <v>172</v>
      </c>
      <c r="B203" s="35" t="s">
        <v>36</v>
      </c>
      <c r="C203" s="88" t="s">
        <v>222</v>
      </c>
      <c r="D203" s="125" t="s">
        <v>22</v>
      </c>
      <c r="E203" s="23" t="s">
        <v>82</v>
      </c>
      <c r="F203" s="67">
        <v>43874.28</v>
      </c>
      <c r="G203" s="66"/>
      <c r="H203" s="67">
        <v>38889</v>
      </c>
      <c r="I203" s="67"/>
      <c r="J203" s="67"/>
      <c r="K203" s="67">
        <v>38889</v>
      </c>
      <c r="L203" s="67"/>
      <c r="M203" s="67"/>
    </row>
    <row r="204" spans="1:13" outlineLevel="7">
      <c r="A204" s="8" t="s">
        <v>173</v>
      </c>
      <c r="B204" s="35" t="s">
        <v>36</v>
      </c>
      <c r="C204" s="88" t="s">
        <v>222</v>
      </c>
      <c r="D204" s="125" t="s">
        <v>22</v>
      </c>
      <c r="E204" s="23" t="s">
        <v>46</v>
      </c>
      <c r="F204" s="67"/>
      <c r="G204" s="66"/>
      <c r="H204" s="67"/>
      <c r="I204" s="67"/>
      <c r="J204" s="67"/>
      <c r="K204" s="67"/>
      <c r="L204" s="67"/>
      <c r="M204" s="67"/>
    </row>
    <row r="205" spans="1:13" outlineLevel="7">
      <c r="A205" s="8" t="s">
        <v>174</v>
      </c>
      <c r="B205" s="35" t="s">
        <v>36</v>
      </c>
      <c r="C205" s="88" t="s">
        <v>222</v>
      </c>
      <c r="D205" s="125" t="s">
        <v>22</v>
      </c>
      <c r="E205" s="23" t="s">
        <v>82</v>
      </c>
      <c r="F205" s="67">
        <v>39257.19</v>
      </c>
      <c r="G205" s="66"/>
      <c r="H205" s="67">
        <v>38889</v>
      </c>
      <c r="I205" s="67"/>
      <c r="J205" s="67"/>
      <c r="K205" s="67">
        <v>38889</v>
      </c>
      <c r="L205" s="67"/>
      <c r="M205" s="67"/>
    </row>
    <row r="206" spans="1:13" ht="27.75" customHeight="1" outlineLevel="7">
      <c r="A206" s="205" t="s">
        <v>259</v>
      </c>
      <c r="B206" s="120"/>
      <c r="C206" s="46"/>
      <c r="D206" s="101"/>
      <c r="E206" s="23"/>
      <c r="F206" s="67">
        <f t="shared" ref="F206:M206" si="73">SUM(F207:F210)</f>
        <v>0</v>
      </c>
      <c r="G206" s="67">
        <f t="shared" si="73"/>
        <v>0</v>
      </c>
      <c r="H206" s="67">
        <f t="shared" si="73"/>
        <v>0</v>
      </c>
      <c r="I206" s="67">
        <f t="shared" si="73"/>
        <v>77778</v>
      </c>
      <c r="J206" s="67">
        <f t="shared" si="73"/>
        <v>0</v>
      </c>
      <c r="K206" s="67">
        <f t="shared" si="73"/>
        <v>0</v>
      </c>
      <c r="L206" s="67">
        <f t="shared" si="73"/>
        <v>0</v>
      </c>
      <c r="M206" s="67">
        <f t="shared" si="73"/>
        <v>0</v>
      </c>
    </row>
    <row r="207" spans="1:13" outlineLevel="7">
      <c r="A207" s="8" t="s">
        <v>171</v>
      </c>
      <c r="B207" s="35" t="s">
        <v>36</v>
      </c>
      <c r="C207" s="88" t="s">
        <v>223</v>
      </c>
      <c r="D207" s="125" t="s">
        <v>22</v>
      </c>
      <c r="E207" s="23" t="s">
        <v>176</v>
      </c>
      <c r="F207" s="67"/>
      <c r="G207" s="66"/>
      <c r="H207" s="67"/>
      <c r="I207" s="67"/>
      <c r="J207" s="67"/>
      <c r="K207" s="67"/>
      <c r="L207" s="67"/>
      <c r="M207" s="67"/>
    </row>
    <row r="208" spans="1:13" outlineLevel="7">
      <c r="A208" s="8" t="s">
        <v>172</v>
      </c>
      <c r="B208" s="35" t="s">
        <v>36</v>
      </c>
      <c r="C208" s="88" t="s">
        <v>223</v>
      </c>
      <c r="D208" s="125" t="s">
        <v>22</v>
      </c>
      <c r="E208" s="23" t="s">
        <v>82</v>
      </c>
      <c r="F208" s="67"/>
      <c r="G208" s="66"/>
      <c r="H208" s="67"/>
      <c r="I208" s="67">
        <v>38889</v>
      </c>
      <c r="J208" s="67"/>
      <c r="K208" s="67"/>
      <c r="L208" s="67"/>
      <c r="M208" s="67"/>
    </row>
    <row r="209" spans="1:13" outlineLevel="7">
      <c r="A209" s="8" t="s">
        <v>173</v>
      </c>
      <c r="B209" s="35" t="s">
        <v>36</v>
      </c>
      <c r="C209" s="88" t="s">
        <v>223</v>
      </c>
      <c r="D209" s="125" t="s">
        <v>22</v>
      </c>
      <c r="E209" s="23" t="s">
        <v>46</v>
      </c>
      <c r="F209" s="67"/>
      <c r="G209" s="66"/>
      <c r="H209" s="67"/>
      <c r="I209" s="67"/>
      <c r="J209" s="67"/>
      <c r="K209" s="67"/>
      <c r="L209" s="67"/>
      <c r="M209" s="67"/>
    </row>
    <row r="210" spans="1:13" outlineLevel="7">
      <c r="A210" s="8" t="s">
        <v>174</v>
      </c>
      <c r="B210" s="35" t="s">
        <v>36</v>
      </c>
      <c r="C210" s="88" t="s">
        <v>223</v>
      </c>
      <c r="D210" s="125" t="s">
        <v>22</v>
      </c>
      <c r="E210" s="23" t="s">
        <v>82</v>
      </c>
      <c r="F210" s="67"/>
      <c r="G210" s="66"/>
      <c r="H210" s="67"/>
      <c r="I210" s="67">
        <v>38889</v>
      </c>
      <c r="J210" s="67"/>
      <c r="K210" s="67"/>
      <c r="L210" s="67"/>
      <c r="M210" s="67"/>
    </row>
    <row r="211" spans="1:13" outlineLevel="7">
      <c r="A211" s="206" t="s">
        <v>260</v>
      </c>
      <c r="B211" s="164"/>
      <c r="C211" s="165"/>
      <c r="D211" s="166"/>
      <c r="E211" s="167"/>
      <c r="F211" s="168">
        <f t="shared" ref="F211:M211" si="74">SUM(F212:F215)</f>
        <v>0</v>
      </c>
      <c r="G211" s="168">
        <f t="shared" si="74"/>
        <v>0</v>
      </c>
      <c r="H211" s="168">
        <f t="shared" si="74"/>
        <v>0</v>
      </c>
      <c r="I211" s="168">
        <f t="shared" si="74"/>
        <v>0</v>
      </c>
      <c r="J211" s="168">
        <f t="shared" si="74"/>
        <v>77778</v>
      </c>
      <c r="K211" s="168">
        <f t="shared" si="74"/>
        <v>0</v>
      </c>
      <c r="L211" s="168">
        <f t="shared" si="74"/>
        <v>0</v>
      </c>
      <c r="M211" s="168">
        <f t="shared" si="74"/>
        <v>0</v>
      </c>
    </row>
    <row r="212" spans="1:13" outlineLevel="7">
      <c r="A212" s="8" t="s">
        <v>171</v>
      </c>
      <c r="B212" s="35" t="s">
        <v>36</v>
      </c>
      <c r="C212" s="88" t="s">
        <v>224</v>
      </c>
      <c r="D212" s="125" t="s">
        <v>22</v>
      </c>
      <c r="E212" s="23" t="s">
        <v>176</v>
      </c>
      <c r="F212" s="67"/>
      <c r="G212" s="66"/>
      <c r="H212" s="67"/>
      <c r="I212" s="67"/>
      <c r="J212" s="67"/>
      <c r="K212" s="67"/>
      <c r="L212" s="67"/>
      <c r="M212" s="67"/>
    </row>
    <row r="213" spans="1:13" outlineLevel="7">
      <c r="A213" s="8" t="s">
        <v>172</v>
      </c>
      <c r="B213" s="35" t="s">
        <v>36</v>
      </c>
      <c r="C213" s="88" t="s">
        <v>224</v>
      </c>
      <c r="D213" s="125" t="s">
        <v>22</v>
      </c>
      <c r="E213" s="23" t="s">
        <v>82</v>
      </c>
      <c r="F213" s="67"/>
      <c r="G213" s="66"/>
      <c r="H213" s="67"/>
      <c r="I213" s="67"/>
      <c r="J213" s="67">
        <v>38889</v>
      </c>
      <c r="K213" s="67"/>
      <c r="L213" s="67"/>
      <c r="M213" s="67"/>
    </row>
    <row r="214" spans="1:13" outlineLevel="7">
      <c r="A214" s="8" t="s">
        <v>173</v>
      </c>
      <c r="B214" s="35" t="s">
        <v>36</v>
      </c>
      <c r="C214" s="88" t="s">
        <v>224</v>
      </c>
      <c r="D214" s="125" t="s">
        <v>22</v>
      </c>
      <c r="E214" s="23" t="s">
        <v>46</v>
      </c>
      <c r="F214" s="67"/>
      <c r="G214" s="66"/>
      <c r="H214" s="67"/>
      <c r="I214" s="67"/>
      <c r="J214" s="67"/>
      <c r="K214" s="67"/>
      <c r="L214" s="67"/>
      <c r="M214" s="67"/>
    </row>
    <row r="215" spans="1:13" outlineLevel="7">
      <c r="A215" s="8" t="s">
        <v>174</v>
      </c>
      <c r="B215" s="35" t="s">
        <v>36</v>
      </c>
      <c r="C215" s="88" t="s">
        <v>224</v>
      </c>
      <c r="D215" s="125" t="s">
        <v>22</v>
      </c>
      <c r="E215" s="23" t="s">
        <v>82</v>
      </c>
      <c r="F215" s="67"/>
      <c r="G215" s="66"/>
      <c r="H215" s="67"/>
      <c r="I215" s="67"/>
      <c r="J215" s="67">
        <v>38889</v>
      </c>
      <c r="K215" s="67"/>
      <c r="L215" s="67"/>
      <c r="M215" s="67"/>
    </row>
    <row r="216" spans="1:13" ht="25.5" customHeight="1" outlineLevel="7">
      <c r="A216" s="152" t="s">
        <v>168</v>
      </c>
      <c r="B216" s="153"/>
      <c r="C216" s="154"/>
      <c r="D216" s="153"/>
      <c r="E216" s="153"/>
      <c r="F216" s="155">
        <f>F217</f>
        <v>27452</v>
      </c>
      <c r="G216" s="155">
        <f t="shared" ref="G216:M216" si="75">G217</f>
        <v>21667</v>
      </c>
      <c r="H216" s="155">
        <f t="shared" si="75"/>
        <v>31600</v>
      </c>
      <c r="I216" s="155">
        <f t="shared" si="75"/>
        <v>31600</v>
      </c>
      <c r="J216" s="155">
        <f t="shared" si="75"/>
        <v>31600</v>
      </c>
      <c r="K216" s="155">
        <f t="shared" si="75"/>
        <v>31600</v>
      </c>
      <c r="L216" s="155">
        <f t="shared" si="75"/>
        <v>31600</v>
      </c>
      <c r="M216" s="155">
        <f t="shared" si="75"/>
        <v>31600</v>
      </c>
    </row>
    <row r="217" spans="1:13">
      <c r="A217" s="149" t="s">
        <v>48</v>
      </c>
      <c r="B217" s="150"/>
      <c r="C217" s="151"/>
      <c r="D217" s="150"/>
      <c r="E217" s="150"/>
      <c r="F217" s="76">
        <f t="shared" ref="F217:M217" si="76">F218</f>
        <v>27452</v>
      </c>
      <c r="G217" s="76">
        <f t="shared" si="76"/>
        <v>21667</v>
      </c>
      <c r="H217" s="76">
        <f t="shared" si="76"/>
        <v>31600</v>
      </c>
      <c r="I217" s="76">
        <f t="shared" si="76"/>
        <v>31600</v>
      </c>
      <c r="J217" s="76">
        <f t="shared" si="76"/>
        <v>31600</v>
      </c>
      <c r="K217" s="76">
        <f t="shared" si="76"/>
        <v>31600</v>
      </c>
      <c r="L217" s="76">
        <f t="shared" si="76"/>
        <v>31600</v>
      </c>
      <c r="M217" s="76">
        <f t="shared" si="76"/>
        <v>31600</v>
      </c>
    </row>
    <row r="218" spans="1:13" ht="25.5">
      <c r="A218" s="7" t="s">
        <v>49</v>
      </c>
      <c r="B218" s="17" t="s">
        <v>50</v>
      </c>
      <c r="C218" s="18"/>
      <c r="D218" s="17"/>
      <c r="E218" s="17"/>
      <c r="F218" s="62">
        <f t="shared" ref="F218:M218" si="77">F219+F220+F221+F224</f>
        <v>27452</v>
      </c>
      <c r="G218" s="62">
        <f t="shared" si="77"/>
        <v>21667</v>
      </c>
      <c r="H218" s="62">
        <f t="shared" si="77"/>
        <v>31600</v>
      </c>
      <c r="I218" s="62">
        <f t="shared" si="77"/>
        <v>31600</v>
      </c>
      <c r="J218" s="62">
        <f t="shared" si="77"/>
        <v>31600</v>
      </c>
      <c r="K218" s="62">
        <f t="shared" si="77"/>
        <v>31600</v>
      </c>
      <c r="L218" s="62">
        <f t="shared" si="77"/>
        <v>31600</v>
      </c>
      <c r="M218" s="62">
        <f t="shared" si="77"/>
        <v>31600</v>
      </c>
    </row>
    <row r="219" spans="1:13">
      <c r="A219" s="4" t="s">
        <v>51</v>
      </c>
      <c r="B219" s="19" t="s">
        <v>50</v>
      </c>
      <c r="C219" s="47" t="s">
        <v>65</v>
      </c>
      <c r="D219" s="19" t="s">
        <v>18</v>
      </c>
      <c r="E219" s="19" t="s">
        <v>52</v>
      </c>
      <c r="F219" s="64">
        <v>21084</v>
      </c>
      <c r="G219" s="65">
        <v>16643.919999999998</v>
      </c>
      <c r="H219" s="64">
        <v>24270</v>
      </c>
      <c r="I219" s="64">
        <v>24270</v>
      </c>
      <c r="J219" s="64">
        <v>24270</v>
      </c>
      <c r="K219" s="64">
        <v>24270</v>
      </c>
      <c r="L219" s="64">
        <v>24270</v>
      </c>
      <c r="M219" s="64">
        <v>24270</v>
      </c>
    </row>
    <row r="220" spans="1:13">
      <c r="A220" s="4" t="s">
        <v>53</v>
      </c>
      <c r="B220" s="19" t="s">
        <v>50</v>
      </c>
      <c r="C220" s="47" t="s">
        <v>65</v>
      </c>
      <c r="D220" s="19" t="s">
        <v>59</v>
      </c>
      <c r="E220" s="19" t="s">
        <v>52</v>
      </c>
      <c r="F220" s="64">
        <v>6368</v>
      </c>
      <c r="G220" s="65">
        <v>5023.08</v>
      </c>
      <c r="H220" s="64">
        <v>7330</v>
      </c>
      <c r="I220" s="64">
        <v>7330</v>
      </c>
      <c r="J220" s="64">
        <v>7330</v>
      </c>
      <c r="K220" s="64">
        <v>7330</v>
      </c>
      <c r="L220" s="64">
        <v>7330</v>
      </c>
      <c r="M220" s="64">
        <v>7330</v>
      </c>
    </row>
    <row r="221" spans="1:13" ht="25.5">
      <c r="A221" s="4" t="s">
        <v>74</v>
      </c>
      <c r="B221" s="19" t="s">
        <v>50</v>
      </c>
      <c r="C221" s="47" t="s">
        <v>65</v>
      </c>
      <c r="D221" s="19" t="s">
        <v>21</v>
      </c>
      <c r="E221" s="19" t="s">
        <v>52</v>
      </c>
      <c r="F221" s="65">
        <f t="shared" ref="F221" si="78">SUM(F222:F223)</f>
        <v>0</v>
      </c>
      <c r="G221" s="65">
        <f t="shared" ref="G221:M221" si="79">SUM(G222:G223)</f>
        <v>0</v>
      </c>
      <c r="H221" s="65">
        <f t="shared" si="79"/>
        <v>0</v>
      </c>
      <c r="I221" s="65">
        <f t="shared" si="79"/>
        <v>0</v>
      </c>
      <c r="J221" s="65">
        <f t="shared" si="79"/>
        <v>0</v>
      </c>
      <c r="K221" s="65">
        <f t="shared" si="79"/>
        <v>0</v>
      </c>
      <c r="L221" s="65">
        <f t="shared" si="79"/>
        <v>0</v>
      </c>
      <c r="M221" s="65">
        <f t="shared" si="79"/>
        <v>0</v>
      </c>
    </row>
    <row r="222" spans="1:13">
      <c r="A222" s="4" t="s">
        <v>169</v>
      </c>
      <c r="B222" s="19"/>
      <c r="C222" s="47"/>
      <c r="D222" s="19"/>
      <c r="E222" s="19"/>
      <c r="F222" s="64"/>
      <c r="G222" s="65"/>
      <c r="H222" s="64"/>
      <c r="I222" s="64"/>
      <c r="J222" s="64"/>
      <c r="K222" s="64"/>
      <c r="L222" s="64"/>
      <c r="M222" s="64"/>
    </row>
    <row r="223" spans="1:13">
      <c r="A223" s="4" t="s">
        <v>170</v>
      </c>
      <c r="B223" s="19"/>
      <c r="C223" s="47"/>
      <c r="D223" s="19"/>
      <c r="E223" s="19"/>
      <c r="F223" s="64"/>
      <c r="G223" s="65"/>
      <c r="H223" s="64"/>
      <c r="I223" s="64"/>
      <c r="J223" s="64"/>
      <c r="K223" s="64"/>
      <c r="L223" s="64"/>
      <c r="M223" s="64"/>
    </row>
    <row r="224" spans="1:13">
      <c r="A224" s="4" t="s">
        <v>87</v>
      </c>
      <c r="B224" s="19" t="s">
        <v>50</v>
      </c>
      <c r="C224" s="47" t="s">
        <v>65</v>
      </c>
      <c r="D224" s="19" t="s">
        <v>22</v>
      </c>
      <c r="E224" s="19" t="s">
        <v>52</v>
      </c>
      <c r="F224" s="65">
        <f t="shared" ref="F224:M224" si="80">SUM(F225:F229)</f>
        <v>0</v>
      </c>
      <c r="G224" s="65">
        <f t="shared" si="80"/>
        <v>0</v>
      </c>
      <c r="H224" s="65">
        <f t="shared" si="80"/>
        <v>0</v>
      </c>
      <c r="I224" s="65">
        <f t="shared" si="80"/>
        <v>0</v>
      </c>
      <c r="J224" s="65">
        <f t="shared" si="80"/>
        <v>0</v>
      </c>
      <c r="K224" s="65">
        <f t="shared" si="80"/>
        <v>0</v>
      </c>
      <c r="L224" s="65">
        <f t="shared" si="80"/>
        <v>0</v>
      </c>
      <c r="M224" s="65">
        <f t="shared" si="80"/>
        <v>0</v>
      </c>
    </row>
    <row r="225" spans="1:13">
      <c r="A225" s="4" t="s">
        <v>96</v>
      </c>
      <c r="B225" s="19"/>
      <c r="C225" s="47"/>
      <c r="D225" s="19"/>
      <c r="E225" s="19"/>
      <c r="F225" s="64"/>
      <c r="G225" s="65"/>
      <c r="H225" s="64"/>
      <c r="I225" s="64"/>
      <c r="J225" s="64"/>
      <c r="K225" s="64"/>
      <c r="L225" s="64"/>
      <c r="M225" s="64"/>
    </row>
    <row r="226" spans="1:13">
      <c r="A226" s="4" t="s">
        <v>54</v>
      </c>
      <c r="B226" s="19"/>
      <c r="C226" s="47"/>
      <c r="D226" s="19"/>
      <c r="E226" s="19"/>
      <c r="F226" s="64"/>
      <c r="G226" s="65"/>
      <c r="H226" s="64"/>
      <c r="I226" s="64"/>
      <c r="J226" s="64"/>
      <c r="K226" s="64"/>
      <c r="L226" s="64"/>
      <c r="M226" s="64"/>
    </row>
    <row r="227" spans="1:13">
      <c r="A227" s="4" t="s">
        <v>55</v>
      </c>
      <c r="B227" s="19"/>
      <c r="C227" s="47"/>
      <c r="D227" s="19"/>
      <c r="E227" s="19"/>
      <c r="F227" s="64"/>
      <c r="G227" s="65"/>
      <c r="H227" s="64"/>
      <c r="I227" s="64"/>
      <c r="J227" s="64"/>
      <c r="K227" s="64"/>
      <c r="L227" s="64"/>
      <c r="M227" s="64"/>
    </row>
    <row r="228" spans="1:13">
      <c r="A228" s="4" t="s">
        <v>56</v>
      </c>
      <c r="B228" s="19"/>
      <c r="C228" s="47"/>
      <c r="D228" s="19"/>
      <c r="E228" s="19"/>
      <c r="F228" s="64"/>
      <c r="G228" s="65"/>
      <c r="H228" s="64"/>
      <c r="I228" s="64"/>
      <c r="J228" s="64"/>
      <c r="K228" s="64"/>
      <c r="L228" s="64"/>
      <c r="M228" s="64"/>
    </row>
    <row r="229" spans="1:13">
      <c r="A229" s="4" t="s">
        <v>57</v>
      </c>
      <c r="B229" s="19"/>
      <c r="C229" s="47"/>
      <c r="D229" s="19"/>
      <c r="E229" s="19"/>
      <c r="F229" s="64"/>
      <c r="G229" s="65"/>
      <c r="H229" s="64"/>
      <c r="I229" s="64"/>
      <c r="J229" s="64"/>
      <c r="K229" s="64"/>
      <c r="L229" s="64"/>
      <c r="M229" s="64"/>
    </row>
    <row r="230" spans="1:13">
      <c r="F230" s="6"/>
      <c r="G230" s="6"/>
      <c r="H230" s="6"/>
      <c r="I230" s="6"/>
      <c r="J230" s="6"/>
      <c r="K230" s="6"/>
      <c r="L230" s="6"/>
      <c r="M230" s="6"/>
    </row>
    <row r="231" spans="1:13">
      <c r="F231" s="6"/>
      <c r="G231" s="6"/>
      <c r="H231" s="6"/>
      <c r="I231" s="6"/>
      <c r="J231" s="6"/>
      <c r="K231" s="6"/>
      <c r="L231" s="6"/>
      <c r="M231" s="6"/>
    </row>
    <row r="232" spans="1:13">
      <c r="A232" s="13" t="s">
        <v>195</v>
      </c>
      <c r="F232" s="6"/>
      <c r="G232" s="6"/>
      <c r="H232" s="6"/>
      <c r="I232" s="6"/>
      <c r="J232" s="6"/>
      <c r="K232" s="6"/>
      <c r="L232" s="6"/>
      <c r="M232" s="6"/>
    </row>
    <row r="233" spans="1:13">
      <c r="F233" s="6"/>
      <c r="G233" s="6"/>
      <c r="H233" s="6"/>
      <c r="I233" s="6"/>
      <c r="J233" s="6"/>
      <c r="K233" s="6"/>
      <c r="L233" s="6"/>
      <c r="M233" s="6"/>
    </row>
    <row r="234" spans="1:13">
      <c r="F234" s="6"/>
      <c r="G234" s="6"/>
      <c r="H234" s="6"/>
      <c r="I234" s="6"/>
      <c r="J234" s="6"/>
      <c r="K234" s="6"/>
      <c r="L234" s="6"/>
      <c r="M234" s="6"/>
    </row>
    <row r="235" spans="1:13">
      <c r="F235" s="6"/>
      <c r="G235" s="6"/>
      <c r="H235" s="6"/>
      <c r="I235" s="6"/>
      <c r="J235" s="6"/>
      <c r="K235" s="6"/>
      <c r="L235" s="6"/>
      <c r="M235" s="6"/>
    </row>
    <row r="236" spans="1:13">
      <c r="F236" s="6"/>
      <c r="G236" s="6"/>
      <c r="H236" s="6"/>
      <c r="I236" s="6"/>
      <c r="J236" s="6"/>
      <c r="K236" s="6"/>
      <c r="L236" s="6"/>
      <c r="M236" s="6"/>
    </row>
    <row r="237" spans="1:13">
      <c r="A237" s="13" t="s">
        <v>97</v>
      </c>
      <c r="F237" s="6"/>
      <c r="G237" s="6"/>
      <c r="H237" s="6"/>
      <c r="I237" s="6"/>
      <c r="J237" s="6"/>
      <c r="K237" s="6"/>
      <c r="L237" s="6"/>
      <c r="M237" s="6"/>
    </row>
    <row r="238" spans="1:13">
      <c r="F238" s="6"/>
      <c r="G238" s="6"/>
      <c r="H238" s="6"/>
      <c r="I238" s="6"/>
      <c r="J238" s="6"/>
      <c r="K238" s="6"/>
      <c r="L238" s="6"/>
      <c r="M238" s="6"/>
    </row>
    <row r="239" spans="1:13">
      <c r="F239" s="6"/>
      <c r="G239" s="6"/>
      <c r="H239" s="6"/>
      <c r="I239" s="6"/>
      <c r="J239" s="6"/>
      <c r="K239" s="6"/>
      <c r="L239" s="6"/>
      <c r="M239" s="6"/>
    </row>
    <row r="240" spans="1:13">
      <c r="F240" s="6"/>
      <c r="G240" s="6"/>
      <c r="H240" s="6"/>
      <c r="I240" s="6"/>
      <c r="J240" s="6"/>
      <c r="K240" s="6"/>
      <c r="L240" s="6"/>
      <c r="M240" s="6"/>
    </row>
    <row r="241" spans="6:13">
      <c r="F241" s="6"/>
      <c r="G241" s="6"/>
      <c r="H241" s="6"/>
      <c r="I241" s="6"/>
      <c r="J241" s="6"/>
      <c r="K241" s="6"/>
      <c r="L241" s="6"/>
      <c r="M241" s="6"/>
    </row>
    <row r="242" spans="6:13">
      <c r="F242" s="6"/>
      <c r="G242" s="6"/>
      <c r="H242" s="6"/>
      <c r="I242" s="6"/>
      <c r="J242" s="6"/>
      <c r="K242" s="6"/>
      <c r="L242" s="6"/>
      <c r="M242" s="6"/>
    </row>
    <row r="243" spans="6:13">
      <c r="F243" s="6"/>
      <c r="G243" s="6"/>
      <c r="H243" s="6"/>
      <c r="I243" s="6"/>
      <c r="J243" s="6"/>
      <c r="K243" s="6"/>
      <c r="L243" s="6"/>
      <c r="M243" s="6"/>
    </row>
    <row r="244" spans="6:13">
      <c r="F244" s="6"/>
      <c r="G244" s="6"/>
      <c r="H244" s="6"/>
      <c r="I244" s="6"/>
      <c r="J244" s="6"/>
      <c r="K244" s="6"/>
      <c r="L244" s="6"/>
      <c r="M244" s="6"/>
    </row>
    <row r="245" spans="6:13">
      <c r="F245" s="6"/>
      <c r="G245" s="6"/>
      <c r="H245" s="6"/>
      <c r="I245" s="6"/>
      <c r="J245" s="6"/>
      <c r="K245" s="6"/>
      <c r="L245" s="6"/>
      <c r="M245" s="6"/>
    </row>
    <row r="246" spans="6:13">
      <c r="F246" s="6"/>
      <c r="G246" s="6"/>
      <c r="H246" s="6"/>
      <c r="I246" s="6"/>
      <c r="J246" s="6"/>
      <c r="K246" s="6"/>
      <c r="L246" s="6"/>
      <c r="M246" s="6"/>
    </row>
    <row r="247" spans="6:13">
      <c r="F247" s="6"/>
      <c r="G247" s="6"/>
      <c r="H247" s="6"/>
      <c r="I247" s="6"/>
      <c r="J247" s="6"/>
      <c r="K247" s="6"/>
      <c r="L247" s="6"/>
      <c r="M247" s="6"/>
    </row>
    <row r="248" spans="6:13">
      <c r="F248" s="6"/>
      <c r="G248" s="6"/>
      <c r="H248" s="6"/>
      <c r="I248" s="6"/>
      <c r="J248" s="6"/>
      <c r="K248" s="6"/>
      <c r="L248" s="6"/>
      <c r="M248" s="6"/>
    </row>
    <row r="249" spans="6:13">
      <c r="F249" s="6"/>
      <c r="G249" s="6"/>
      <c r="H249" s="6"/>
      <c r="I249" s="6"/>
      <c r="J249" s="6"/>
      <c r="K249" s="6"/>
      <c r="L249" s="6"/>
      <c r="M249" s="6"/>
    </row>
    <row r="250" spans="6:13">
      <c r="F250" s="6"/>
      <c r="G250" s="6"/>
      <c r="H250" s="6"/>
      <c r="I250" s="6"/>
      <c r="J250" s="6"/>
      <c r="K250" s="6"/>
      <c r="L250" s="6"/>
      <c r="M250" s="6"/>
    </row>
    <row r="251" spans="6:13">
      <c r="F251" s="6"/>
      <c r="G251" s="6"/>
      <c r="H251" s="6"/>
      <c r="I251" s="6"/>
      <c r="J251" s="6"/>
      <c r="K251" s="6"/>
      <c r="L251" s="6"/>
      <c r="M251" s="6"/>
    </row>
    <row r="252" spans="6:13">
      <c r="F252" s="6"/>
      <c r="G252" s="6"/>
      <c r="H252" s="6"/>
      <c r="I252" s="6"/>
      <c r="J252" s="6"/>
      <c r="K252" s="6"/>
      <c r="L252" s="6"/>
      <c r="M252" s="6"/>
    </row>
    <row r="253" spans="6:13">
      <c r="F253" s="6"/>
      <c r="G253" s="6"/>
      <c r="H253" s="6"/>
      <c r="I253" s="6"/>
      <c r="J253" s="6"/>
      <c r="K253" s="6"/>
      <c r="L253" s="6"/>
      <c r="M253" s="6"/>
    </row>
  </sheetData>
  <sheetProtection selectLockedCells="1" selectUnlockedCells="1"/>
  <mergeCells count="19">
    <mergeCell ref="A1:M1"/>
    <mergeCell ref="A2:M2"/>
    <mergeCell ref="A3:M3"/>
    <mergeCell ref="A4:A5"/>
    <mergeCell ref="B4:E4"/>
    <mergeCell ref="F4:F5"/>
    <mergeCell ref="G4:G5"/>
    <mergeCell ref="H4:J4"/>
    <mergeCell ref="K4:M4"/>
    <mergeCell ref="B17:E17"/>
    <mergeCell ref="B93:E93"/>
    <mergeCell ref="B95:E95"/>
    <mergeCell ref="B105:E105"/>
    <mergeCell ref="B6:E6"/>
    <mergeCell ref="B7:E7"/>
    <mergeCell ref="B8:E8"/>
    <mergeCell ref="B11:E11"/>
    <mergeCell ref="B12:E12"/>
    <mergeCell ref="B13:E13"/>
  </mergeCells>
  <pageMargins left="0.39370078740157483" right="0.19685039370078741" top="0.19685039370078741" bottom="0.39370078740157483" header="0.51181102362204722" footer="0.31496062992125984"/>
  <pageSetup paperSize="9" scale="70" firstPageNumber="0" fitToHeight="200" orientation="landscape" verticalDpi="300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F19"/>
  <sheetViews>
    <sheetView workbookViewId="0">
      <selection activeCell="A5" sqref="A5:E5"/>
    </sheetView>
  </sheetViews>
  <sheetFormatPr defaultRowHeight="15"/>
  <cols>
    <col min="1" max="1" width="29.7109375" style="183" customWidth="1"/>
    <col min="2" max="2" width="15.28515625" style="183" customWidth="1"/>
    <col min="3" max="3" width="12.42578125" style="183" customWidth="1"/>
    <col min="4" max="4" width="16" style="183" customWidth="1"/>
    <col min="5" max="5" width="20.140625" style="183" customWidth="1"/>
    <col min="6" max="16384" width="9.140625" style="183"/>
  </cols>
  <sheetData>
    <row r="1" spans="1:6" ht="15.75">
      <c r="A1" s="256" t="s">
        <v>216</v>
      </c>
      <c r="B1" s="256"/>
      <c r="C1" s="256"/>
      <c r="D1" s="256"/>
      <c r="E1" s="256"/>
      <c r="F1" s="208"/>
    </row>
    <row r="2" spans="1:6" ht="15.75">
      <c r="A2" s="208"/>
      <c r="B2" s="208"/>
      <c r="C2" s="208"/>
      <c r="D2" s="208"/>
      <c r="E2" s="208"/>
      <c r="F2" s="208"/>
    </row>
    <row r="3" spans="1:6" ht="15.75">
      <c r="A3" s="208"/>
      <c r="B3" s="208"/>
      <c r="C3" s="208"/>
      <c r="D3" s="208"/>
      <c r="E3" s="208"/>
      <c r="F3" s="208"/>
    </row>
    <row r="4" spans="1:6" ht="63">
      <c r="A4" s="209"/>
      <c r="B4" s="210" t="s">
        <v>262</v>
      </c>
      <c r="C4" s="210" t="s">
        <v>206</v>
      </c>
      <c r="D4" s="210" t="s">
        <v>207</v>
      </c>
      <c r="E4" s="210" t="s">
        <v>208</v>
      </c>
      <c r="F4" s="208"/>
    </row>
    <row r="5" spans="1:6" ht="24.75" customHeight="1">
      <c r="A5" s="257" t="s">
        <v>264</v>
      </c>
      <c r="B5" s="258"/>
      <c r="C5" s="258"/>
      <c r="D5" s="258"/>
      <c r="E5" s="259"/>
      <c r="F5" s="208"/>
    </row>
    <row r="6" spans="1:6" ht="15.75">
      <c r="A6" s="257" t="s">
        <v>209</v>
      </c>
      <c r="B6" s="258"/>
      <c r="C6" s="258"/>
      <c r="D6" s="258"/>
      <c r="E6" s="259"/>
      <c r="F6" s="208"/>
    </row>
    <row r="7" spans="1:6" ht="15.75">
      <c r="A7" s="211" t="s">
        <v>210</v>
      </c>
      <c r="B7" s="212">
        <v>10823</v>
      </c>
      <c r="C7" s="213">
        <v>37</v>
      </c>
      <c r="D7" s="213">
        <f>B7*C7</f>
        <v>400451</v>
      </c>
      <c r="E7" s="214">
        <f>D7*30.2%</f>
        <v>120936.20199999999</v>
      </c>
      <c r="F7" s="208"/>
    </row>
    <row r="8" spans="1:6" ht="15.75">
      <c r="A8" s="257" t="s">
        <v>211</v>
      </c>
      <c r="B8" s="258"/>
      <c r="C8" s="258"/>
      <c r="D8" s="258"/>
      <c r="E8" s="259"/>
      <c r="F8" s="208"/>
    </row>
    <row r="9" spans="1:6" ht="15.75">
      <c r="A9" s="209" t="s">
        <v>212</v>
      </c>
      <c r="B9" s="213">
        <v>7213</v>
      </c>
      <c r="C9" s="213">
        <v>37</v>
      </c>
      <c r="D9" s="213">
        <f t="shared" ref="D9:D10" si="0">B9*C9</f>
        <v>266881</v>
      </c>
      <c r="E9" s="214">
        <f t="shared" ref="E9:E12" si="1">D9*30.2%</f>
        <v>80598.061999999991</v>
      </c>
      <c r="F9" s="208"/>
    </row>
    <row r="10" spans="1:6" ht="15.75">
      <c r="A10" s="209" t="s">
        <v>213</v>
      </c>
      <c r="B10" s="213">
        <v>2478</v>
      </c>
      <c r="C10" s="215">
        <v>34.5</v>
      </c>
      <c r="D10" s="213">
        <f t="shared" si="0"/>
        <v>85491</v>
      </c>
      <c r="E10" s="214">
        <f t="shared" si="1"/>
        <v>25818.281999999999</v>
      </c>
      <c r="F10" s="208"/>
    </row>
    <row r="11" spans="1:6" ht="15.75">
      <c r="A11" s="254" t="s">
        <v>214</v>
      </c>
      <c r="B11" s="255"/>
      <c r="C11" s="255"/>
      <c r="D11" s="216">
        <f>SUM(D9:D10)</f>
        <v>352372</v>
      </c>
      <c r="E11" s="217">
        <f t="shared" si="1"/>
        <v>106416.344</v>
      </c>
      <c r="F11" s="208"/>
    </row>
    <row r="12" spans="1:6" ht="15.75">
      <c r="A12" s="254" t="s">
        <v>215</v>
      </c>
      <c r="B12" s="255"/>
      <c r="C12" s="255"/>
      <c r="D12" s="216">
        <f>D7+D11</f>
        <v>752823</v>
      </c>
      <c r="E12" s="217">
        <f t="shared" si="1"/>
        <v>227352.546</v>
      </c>
      <c r="F12" s="208"/>
    </row>
    <row r="13" spans="1:6" ht="15.75">
      <c r="A13" s="208"/>
      <c r="B13" s="208"/>
      <c r="C13" s="208"/>
      <c r="D13" s="208"/>
      <c r="E13" s="208"/>
      <c r="F13" s="208"/>
    </row>
    <row r="14" spans="1:6" ht="15.75">
      <c r="A14" s="208"/>
      <c r="B14" s="208"/>
      <c r="C14" s="208"/>
      <c r="D14" s="208"/>
      <c r="E14" s="208"/>
      <c r="F14" s="208"/>
    </row>
    <row r="15" spans="1:6" ht="15.75">
      <c r="A15" s="208"/>
      <c r="B15" s="208"/>
      <c r="C15" s="208"/>
      <c r="D15" s="208"/>
      <c r="E15" s="208"/>
      <c r="F15" s="208"/>
    </row>
    <row r="16" spans="1:6" ht="15.75">
      <c r="A16" s="208"/>
      <c r="B16" s="208"/>
      <c r="C16" s="208"/>
      <c r="D16" s="208"/>
      <c r="E16" s="208"/>
      <c r="F16" s="208"/>
    </row>
    <row r="17" spans="1:6" ht="15.75">
      <c r="A17" s="208"/>
      <c r="B17" s="208"/>
      <c r="C17" s="208"/>
      <c r="D17" s="208"/>
      <c r="E17" s="208"/>
      <c r="F17" s="208"/>
    </row>
    <row r="18" spans="1:6" ht="15.75">
      <c r="A18" s="208"/>
      <c r="B18" s="208"/>
      <c r="C18" s="208"/>
      <c r="D18" s="208"/>
      <c r="E18" s="208"/>
      <c r="F18" s="208"/>
    </row>
    <row r="19" spans="1:6" ht="15.75">
      <c r="A19" s="208"/>
      <c r="B19" s="208"/>
      <c r="C19" s="208"/>
      <c r="D19" s="208"/>
      <c r="E19" s="208"/>
      <c r="F19" s="208"/>
    </row>
  </sheetData>
  <mergeCells count="6">
    <mergeCell ref="A12:C12"/>
    <mergeCell ref="A11:C11"/>
    <mergeCell ref="A1:E1"/>
    <mergeCell ref="A5:E5"/>
    <mergeCell ref="A6:E6"/>
    <mergeCell ref="A8:E8"/>
  </mergeCells>
  <pageMargins left="0.39370078740157483" right="0.11811023622047245" top="0.15748031496062992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05.10.2020</vt:lpstr>
      <vt:lpstr>22.10.2020 с полномоч. в МР</vt:lpstr>
      <vt:lpstr>02.11.2020 с дотацией</vt:lpstr>
      <vt:lpstr>расчет зарплаты</vt:lpstr>
      <vt:lpstr>'02.11.2020 с дотацией'!Заголовки_для_печати</vt:lpstr>
      <vt:lpstr>'05.10.2020'!Заголовки_для_печати</vt:lpstr>
      <vt:lpstr>'22.10.2020 с полномоч. в МР'!Заголовки_для_печати</vt:lpstr>
      <vt:lpstr>'02.11.2020 с дотацией'!Область_печати</vt:lpstr>
      <vt:lpstr>'05.10.2020'!Область_печати</vt:lpstr>
      <vt:lpstr>'22.10.2020 с полномоч. в МР'!Область_печати</vt:lpstr>
    </vt:vector>
  </TitlesOfParts>
  <Company>Министерство финансовК.О.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usersh</cp:lastModifiedBy>
  <cp:lastPrinted>2021-01-02T07:24:11Z</cp:lastPrinted>
  <dcterms:created xsi:type="dcterms:W3CDTF">2015-11-17T09:03:11Z</dcterms:created>
  <dcterms:modified xsi:type="dcterms:W3CDTF">2020-11-20T05:52:36Z</dcterms:modified>
</cp:coreProperties>
</file>